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DIREZIONE AMMINISTRATIVA\DOCUMENTI\CONSUNTIVO 2021\DEFINITIVI\"/>
    </mc:Choice>
  </mc:AlternateContent>
  <xr:revisionPtr revIDLastSave="0" documentId="13_ncr:1_{0E853E4D-077E-43AA-BA99-D30C5F03F01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IDUI ATT 2021_def" sheetId="12" r:id="rId1"/>
    <sheet name="mod. SITUAM 2021" sheetId="9" r:id="rId2"/>
    <sheet name="Quadro Generale " sheetId="8" r:id="rId3"/>
    <sheet name="decisionale spese" sheetId="6" r:id="rId4"/>
    <sheet name="decisionale entrate " sheetId="5" r:id="rId5"/>
    <sheet name="Stampa rendiconto PI - ENTRATE" sheetId="1" r:id="rId6"/>
    <sheet name="Stampa rendiconto PII - ENTRATE" sheetId="2" r:id="rId7"/>
    <sheet name="Stampa rendiconto PI - USCITE" sheetId="3" r:id="rId8"/>
    <sheet name="Stampa rendiconto PII - USCITE" sheetId="4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'RESIDUI ATT 2021_def'!$A$2:$W$404</definedName>
    <definedName name="_xlnm.Print_Titles" localSheetId="5">'Stampa rendiconto PI - ENTRATE'!$1:$7</definedName>
    <definedName name="_xlnm.Print_Titles" localSheetId="7">'Stampa rendiconto PI - USCITE'!$1:$7</definedName>
    <definedName name="_xlnm.Print_Titles" localSheetId="6">'Stampa rendiconto PII - ENTRATE'!$1:$7</definedName>
    <definedName name="_xlnm.Print_Titles" localSheetId="8">'Stampa rendiconto PII - USCITE'!$1:$7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9" l="1"/>
  <c r="H19" i="6"/>
  <c r="W76" i="12"/>
  <c r="W72" i="12"/>
  <c r="W70" i="12"/>
  <c r="W69" i="12"/>
  <c r="W51" i="12"/>
  <c r="K403" i="12"/>
  <c r="K402" i="12"/>
  <c r="G401" i="12"/>
  <c r="K401" i="12" s="1"/>
  <c r="K400" i="12"/>
  <c r="K399" i="12"/>
  <c r="K398" i="12"/>
  <c r="G398" i="12"/>
  <c r="K397" i="12"/>
  <c r="G397" i="12"/>
  <c r="G396" i="12"/>
  <c r="K396" i="12" s="1"/>
  <c r="K395" i="12"/>
  <c r="G395" i="12"/>
  <c r="K394" i="12"/>
  <c r="K393" i="12"/>
  <c r="K392" i="12"/>
  <c r="K391" i="12"/>
  <c r="K390" i="12"/>
  <c r="K389" i="12"/>
  <c r="K388" i="12"/>
  <c r="K387" i="12"/>
  <c r="K386" i="12"/>
  <c r="K385" i="12"/>
  <c r="K384" i="12"/>
  <c r="K383" i="12"/>
  <c r="K382" i="12"/>
  <c r="K381" i="12"/>
  <c r="K380" i="12"/>
  <c r="K379" i="12"/>
  <c r="K378" i="12"/>
  <c r="K377" i="12"/>
  <c r="K376" i="12"/>
  <c r="K375" i="12"/>
  <c r="K374" i="12"/>
  <c r="K373" i="12"/>
  <c r="K372" i="12"/>
  <c r="K371" i="12"/>
  <c r="K370" i="12"/>
  <c r="K369" i="12"/>
  <c r="K368" i="12"/>
  <c r="K367" i="12"/>
  <c r="K366" i="12"/>
  <c r="K365" i="12"/>
  <c r="K364" i="12"/>
  <c r="K363" i="12"/>
  <c r="K362" i="12"/>
  <c r="K361" i="12"/>
  <c r="K360" i="12"/>
  <c r="K359" i="12"/>
  <c r="K358" i="12"/>
  <c r="K357" i="12"/>
  <c r="K355" i="12"/>
  <c r="G354" i="12"/>
  <c r="G356" i="12" s="1"/>
  <c r="K356" i="12" s="1"/>
  <c r="K353" i="12"/>
  <c r="K352" i="12"/>
  <c r="K351" i="12"/>
  <c r="K350" i="12"/>
  <c r="K349" i="12"/>
  <c r="G346" i="12"/>
  <c r="G347" i="12" s="1"/>
  <c r="K345" i="12"/>
  <c r="K344" i="12"/>
  <c r="K343" i="12"/>
  <c r="K342" i="12"/>
  <c r="G341" i="12"/>
  <c r="K341" i="12" s="1"/>
  <c r="K340" i="12"/>
  <c r="K339" i="12"/>
  <c r="K338" i="12"/>
  <c r="K337" i="12"/>
  <c r="G335" i="12"/>
  <c r="K335" i="12" s="1"/>
  <c r="K334" i="12"/>
  <c r="K333" i="12"/>
  <c r="G332" i="12"/>
  <c r="K332" i="12" s="1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G311" i="12"/>
  <c r="K311" i="12" s="1"/>
  <c r="K310" i="12"/>
  <c r="K309" i="12"/>
  <c r="K308" i="12"/>
  <c r="K307" i="12"/>
  <c r="K306" i="12"/>
  <c r="K305" i="12"/>
  <c r="K303" i="12"/>
  <c r="K301" i="12"/>
  <c r="K300" i="12"/>
  <c r="K299" i="12"/>
  <c r="K298" i="12"/>
  <c r="K297" i="12"/>
  <c r="K294" i="12"/>
  <c r="K293" i="12"/>
  <c r="K292" i="12"/>
  <c r="K289" i="12"/>
  <c r="W289" i="12" s="1"/>
  <c r="K286" i="12"/>
  <c r="W286" i="12" s="1"/>
  <c r="K285" i="12"/>
  <c r="W285" i="12" s="1"/>
  <c r="K249" i="12"/>
  <c r="W249" i="12" s="1"/>
  <c r="K231" i="12"/>
  <c r="W231" i="12" s="1"/>
  <c r="K230" i="12"/>
  <c r="W230" i="12" s="1"/>
  <c r="K220" i="12"/>
  <c r="W220" i="12" s="1"/>
  <c r="K218" i="12"/>
  <c r="K215" i="12"/>
  <c r="K214" i="12"/>
  <c r="K213" i="12"/>
  <c r="K209" i="12"/>
  <c r="K208" i="12"/>
  <c r="K207" i="12"/>
  <c r="K206" i="12"/>
  <c r="W206" i="12" s="1"/>
  <c r="K204" i="12"/>
  <c r="W204" i="12" s="1"/>
  <c r="K203" i="12"/>
  <c r="K202" i="12"/>
  <c r="K199" i="12"/>
  <c r="I199" i="12"/>
  <c r="I198" i="12"/>
  <c r="I197" i="12"/>
  <c r="I196" i="12"/>
  <c r="I195" i="12"/>
  <c r="I194" i="12"/>
  <c r="I193" i="12"/>
  <c r="K181" i="12"/>
  <c r="K180" i="12"/>
  <c r="K178" i="12"/>
  <c r="I178" i="12"/>
  <c r="I177" i="12"/>
  <c r="I176" i="12"/>
  <c r="K175" i="12"/>
  <c r="I175" i="12"/>
  <c r="K174" i="12"/>
  <c r="I174" i="12"/>
  <c r="K173" i="12"/>
  <c r="I173" i="12"/>
  <c r="K172" i="12"/>
  <c r="I172" i="12"/>
  <c r="K171" i="12"/>
  <c r="I171" i="12"/>
  <c r="K170" i="12"/>
  <c r="I170" i="12"/>
  <c r="K169" i="12"/>
  <c r="I169" i="12"/>
  <c r="I168" i="12"/>
  <c r="I167" i="12"/>
  <c r="I166" i="12"/>
  <c r="I165" i="12"/>
  <c r="I164" i="12"/>
  <c r="I163" i="12"/>
  <c r="K162" i="12"/>
  <c r="W162" i="12" s="1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K109" i="12"/>
  <c r="I109" i="12"/>
  <c r="I108" i="12"/>
  <c r="I107" i="12"/>
  <c r="K106" i="12"/>
  <c r="I106" i="12"/>
  <c r="K105" i="12"/>
  <c r="I105" i="12"/>
  <c r="K104" i="12"/>
  <c r="I104" i="12"/>
  <c r="I103" i="12"/>
  <c r="K102" i="12"/>
  <c r="I102" i="12"/>
  <c r="I101" i="12"/>
  <c r="I100" i="12"/>
  <c r="K99" i="12"/>
  <c r="I99" i="12"/>
  <c r="K98" i="12"/>
  <c r="I98" i="12"/>
  <c r="K97" i="12"/>
  <c r="I97" i="12"/>
  <c r="K96" i="12"/>
  <c r="I96" i="12"/>
  <c r="K95" i="12"/>
  <c r="I95" i="12"/>
  <c r="K94" i="12"/>
  <c r="I94" i="12"/>
  <c r="K93" i="12"/>
  <c r="I93" i="12"/>
  <c r="K92" i="12"/>
  <c r="I92" i="12"/>
  <c r="I89" i="12"/>
  <c r="K89" i="12" s="1"/>
  <c r="I88" i="12"/>
  <c r="K88" i="12" s="1"/>
  <c r="I87" i="12"/>
  <c r="K87" i="12" s="1"/>
  <c r="I86" i="12"/>
  <c r="I85" i="12"/>
  <c r="I84" i="12"/>
  <c r="K84" i="12" s="1"/>
  <c r="K83" i="12"/>
  <c r="I83" i="12"/>
  <c r="K82" i="12"/>
  <c r="I82" i="12"/>
  <c r="I81" i="12"/>
  <c r="K81" i="12" s="1"/>
  <c r="I80" i="12"/>
  <c r="I79" i="12"/>
  <c r="K79" i="12" s="1"/>
  <c r="W79" i="12" s="1"/>
  <c r="I78" i="12"/>
  <c r="I77" i="12"/>
  <c r="I76" i="12"/>
  <c r="I75" i="12"/>
  <c r="I74" i="12"/>
  <c r="K73" i="12"/>
  <c r="W73" i="12" s="1"/>
  <c r="I73" i="12"/>
  <c r="I72" i="12"/>
  <c r="K71" i="12"/>
  <c r="W71" i="12" s="1"/>
  <c r="I71" i="12"/>
  <c r="I70" i="12"/>
  <c r="I69" i="12"/>
  <c r="I68" i="12"/>
  <c r="I67" i="12"/>
  <c r="K67" i="12" s="1"/>
  <c r="K66" i="12"/>
  <c r="I66" i="12"/>
  <c r="I65" i="12"/>
  <c r="K65" i="12" s="1"/>
  <c r="K64" i="12"/>
  <c r="I64" i="12"/>
  <c r="I63" i="12"/>
  <c r="K63" i="12" s="1"/>
  <c r="W63" i="12" s="1"/>
  <c r="K62" i="12"/>
  <c r="I62" i="12"/>
  <c r="K61" i="12"/>
  <c r="I61" i="12"/>
  <c r="I60" i="12"/>
  <c r="K59" i="12"/>
  <c r="I59" i="12"/>
  <c r="K58" i="12"/>
  <c r="I58" i="12"/>
  <c r="K57" i="12"/>
  <c r="W57" i="12" s="1"/>
  <c r="I57" i="12"/>
  <c r="K56" i="12"/>
  <c r="W56" i="12" s="1"/>
  <c r="I56" i="12"/>
  <c r="K55" i="12"/>
  <c r="I55" i="12"/>
  <c r="K54" i="12"/>
  <c r="K53" i="12"/>
  <c r="I53" i="12"/>
  <c r="I52" i="12"/>
  <c r="K51" i="12"/>
  <c r="I51" i="12"/>
  <c r="K50" i="12"/>
  <c r="W50" i="12" s="1"/>
  <c r="I50" i="12"/>
  <c r="I49" i="12"/>
  <c r="K48" i="12"/>
  <c r="W48" i="12" s="1"/>
  <c r="I48" i="12"/>
  <c r="K47" i="12"/>
  <c r="I47" i="12"/>
  <c r="F46" i="12"/>
  <c r="K46" i="12" s="1"/>
  <c r="K45" i="12"/>
  <c r="I45" i="12"/>
  <c r="F45" i="12"/>
  <c r="K44" i="12"/>
  <c r="I44" i="12"/>
  <c r="F43" i="12"/>
  <c r="K43" i="12" s="1"/>
  <c r="K42" i="12"/>
  <c r="I42" i="12"/>
  <c r="F42" i="12"/>
  <c r="F41" i="12"/>
  <c r="K41" i="12" s="1"/>
  <c r="I40" i="12"/>
  <c r="F40" i="12"/>
  <c r="K40" i="12" s="1"/>
  <c r="K39" i="12"/>
  <c r="F39" i="12"/>
  <c r="I39" i="12" s="1"/>
  <c r="F38" i="12"/>
  <c r="K38" i="12" s="1"/>
  <c r="F37" i="12"/>
  <c r="K37" i="12" s="1"/>
  <c r="K36" i="12"/>
  <c r="I36" i="12"/>
  <c r="F36" i="12"/>
  <c r="I35" i="12"/>
  <c r="K34" i="12"/>
  <c r="I34" i="12"/>
  <c r="K33" i="12"/>
  <c r="I33" i="12"/>
  <c r="K32" i="12"/>
  <c r="I32" i="12"/>
  <c r="K31" i="12"/>
  <c r="I31" i="12"/>
  <c r="K30" i="12"/>
  <c r="I30" i="12"/>
  <c r="K29" i="12"/>
  <c r="I29" i="12"/>
  <c r="K28" i="12"/>
  <c r="I28" i="12"/>
  <c r="K27" i="12"/>
  <c r="I27" i="12"/>
  <c r="K26" i="12"/>
  <c r="I26" i="12"/>
  <c r="K25" i="12"/>
  <c r="I25" i="12"/>
  <c r="K24" i="12"/>
  <c r="I24" i="12"/>
  <c r="K23" i="12"/>
  <c r="I23" i="12"/>
  <c r="K22" i="12"/>
  <c r="I22" i="12"/>
  <c r="K21" i="12"/>
  <c r="I21" i="12"/>
  <c r="K20" i="12"/>
  <c r="I20" i="12"/>
  <c r="K19" i="12"/>
  <c r="I19" i="12"/>
  <c r="K18" i="12"/>
  <c r="I18" i="12"/>
  <c r="K17" i="12"/>
  <c r="I17" i="12"/>
  <c r="K16" i="12"/>
  <c r="I16" i="12"/>
  <c r="K15" i="12"/>
  <c r="I15" i="12"/>
  <c r="K14" i="12"/>
  <c r="I14" i="12"/>
  <c r="K13" i="12"/>
  <c r="I13" i="12"/>
  <c r="K12" i="12"/>
  <c r="I12" i="12"/>
  <c r="K11" i="12"/>
  <c r="I11" i="12"/>
  <c r="K10" i="12"/>
  <c r="I10" i="12"/>
  <c r="K9" i="12"/>
  <c r="I9" i="12"/>
  <c r="K8" i="12"/>
  <c r="I8" i="12"/>
  <c r="K7" i="12"/>
  <c r="I7" i="12"/>
  <c r="K6" i="12"/>
  <c r="I6" i="12"/>
  <c r="K5" i="12"/>
  <c r="I5" i="12"/>
  <c r="K4" i="12"/>
  <c r="I4" i="12"/>
  <c r="K3" i="12"/>
  <c r="I3" i="12"/>
  <c r="W405" i="12" l="1"/>
  <c r="K354" i="12"/>
  <c r="G336" i="12"/>
  <c r="K336" i="12" s="1"/>
  <c r="K404" i="12"/>
  <c r="K405" i="12" s="1"/>
  <c r="G348" i="12"/>
  <c r="K348" i="12" s="1"/>
  <c r="K347" i="12"/>
  <c r="I37" i="12"/>
  <c r="I43" i="12"/>
  <c r="I46" i="12"/>
  <c r="I38" i="12"/>
  <c r="K346" i="12"/>
  <c r="O3" i="12"/>
  <c r="I41" i="12"/>
  <c r="G19" i="9" l="1"/>
  <c r="G9" i="9"/>
  <c r="D9" i="8"/>
  <c r="D31" i="5"/>
  <c r="D14" i="5"/>
  <c r="D13" i="5"/>
  <c r="G21" i="5"/>
  <c r="G22" i="5" s="1"/>
  <c r="F21" i="5"/>
  <c r="F22" i="5" s="1"/>
  <c r="H21" i="5"/>
  <c r="H22" i="5" s="1"/>
  <c r="G29" i="5"/>
  <c r="H29" i="5"/>
  <c r="H35" i="5"/>
  <c r="F35" i="5"/>
  <c r="F41" i="5" s="1"/>
  <c r="G35" i="5"/>
  <c r="F40" i="5"/>
  <c r="G40" i="5"/>
  <c r="H40" i="5"/>
  <c r="G45" i="5"/>
  <c r="G46" i="5" s="1"/>
  <c r="F45" i="5"/>
  <c r="F46" i="5" s="1"/>
  <c r="H45" i="5"/>
  <c r="H46" i="5" s="1"/>
  <c r="G41" i="5" l="1"/>
  <c r="G47" i="5" s="1"/>
  <c r="F47" i="5"/>
  <c r="H41" i="5"/>
  <c r="H47" i="5" s="1"/>
  <c r="E138" i="4" l="1"/>
  <c r="E139" i="4" s="1"/>
  <c r="E140" i="4" s="1"/>
  <c r="K137" i="4"/>
  <c r="H137" i="4"/>
  <c r="G137" i="4"/>
  <c r="O137" i="4" s="1"/>
  <c r="F137" i="4"/>
  <c r="L137" i="4" s="1"/>
  <c r="L136" i="4"/>
  <c r="H136" i="4"/>
  <c r="G136" i="4" s="1"/>
  <c r="O136" i="4" s="1"/>
  <c r="L135" i="4"/>
  <c r="H135" i="4"/>
  <c r="K135" i="4" s="1"/>
  <c r="K134" i="4"/>
  <c r="H134" i="4"/>
  <c r="F134" i="4"/>
  <c r="L134" i="4" s="1"/>
  <c r="L133" i="4"/>
  <c r="K133" i="4"/>
  <c r="H133" i="4"/>
  <c r="G133" i="4" s="1"/>
  <c r="O133" i="4" s="1"/>
  <c r="L132" i="4"/>
  <c r="K132" i="4"/>
  <c r="N132" i="4" s="1"/>
  <c r="H132" i="4"/>
  <c r="G132" i="4"/>
  <c r="O132" i="4" s="1"/>
  <c r="L131" i="4"/>
  <c r="K131" i="4"/>
  <c r="H131" i="4"/>
  <c r="G131" i="4"/>
  <c r="O131" i="4" s="1"/>
  <c r="L130" i="4"/>
  <c r="H130" i="4"/>
  <c r="H138" i="4" s="1"/>
  <c r="H139" i="4" s="1"/>
  <c r="G130" i="4"/>
  <c r="O130" i="4" s="1"/>
  <c r="K129" i="4"/>
  <c r="H129" i="4"/>
  <c r="G129" i="4" s="1"/>
  <c r="F129" i="4"/>
  <c r="L129" i="4" s="1"/>
  <c r="P126" i="4"/>
  <c r="P140" i="4" s="1"/>
  <c r="M126" i="4"/>
  <c r="M140" i="4" s="1"/>
  <c r="J126" i="4"/>
  <c r="J140" i="4" s="1"/>
  <c r="I126" i="4"/>
  <c r="H109" i="4"/>
  <c r="E109" i="4"/>
  <c r="E126" i="4" s="1"/>
  <c r="O108" i="4"/>
  <c r="O109" i="4" s="1"/>
  <c r="H108" i="4"/>
  <c r="K108" i="4" s="1"/>
  <c r="F108" i="4"/>
  <c r="L108" i="4" s="1"/>
  <c r="L109" i="4" s="1"/>
  <c r="E99" i="4"/>
  <c r="K98" i="4"/>
  <c r="H98" i="4"/>
  <c r="H99" i="4" s="1"/>
  <c r="F98" i="4"/>
  <c r="L98" i="4" s="1"/>
  <c r="O97" i="4"/>
  <c r="L97" i="4"/>
  <c r="K97" i="4"/>
  <c r="G97" i="4"/>
  <c r="E95" i="4"/>
  <c r="L94" i="4"/>
  <c r="K94" i="4"/>
  <c r="H94" i="4"/>
  <c r="G94" i="4"/>
  <c r="O94" i="4" s="1"/>
  <c r="L93" i="4"/>
  <c r="H93" i="4"/>
  <c r="K93" i="4" s="1"/>
  <c r="G93" i="4"/>
  <c r="O93" i="4" s="1"/>
  <c r="F93" i="4"/>
  <c r="O92" i="4"/>
  <c r="L92" i="4"/>
  <c r="K92" i="4"/>
  <c r="H92" i="4"/>
  <c r="G92" i="4"/>
  <c r="L91" i="4"/>
  <c r="H91" i="4"/>
  <c r="K91" i="4" s="1"/>
  <c r="L90" i="4"/>
  <c r="H90" i="4"/>
  <c r="G90" i="4" s="1"/>
  <c r="F90" i="4"/>
  <c r="F95" i="4" s="1"/>
  <c r="E88" i="4"/>
  <c r="O87" i="4"/>
  <c r="L87" i="4"/>
  <c r="K87" i="4"/>
  <c r="G87" i="4"/>
  <c r="K86" i="4"/>
  <c r="H86" i="4"/>
  <c r="F86" i="4"/>
  <c r="L86" i="4" s="1"/>
  <c r="L85" i="4"/>
  <c r="K85" i="4"/>
  <c r="H85" i="4"/>
  <c r="G85" i="4" s="1"/>
  <c r="O85" i="4" s="1"/>
  <c r="H84" i="4"/>
  <c r="G84" i="4" s="1"/>
  <c r="F84" i="4"/>
  <c r="F88" i="4" s="1"/>
  <c r="P81" i="4"/>
  <c r="M81" i="4"/>
  <c r="I81" i="4"/>
  <c r="I140" i="4" s="1"/>
  <c r="F71" i="4"/>
  <c r="E71" i="4"/>
  <c r="E81" i="4" s="1"/>
  <c r="L70" i="4"/>
  <c r="K70" i="4"/>
  <c r="G70" i="4"/>
  <c r="O70" i="4" s="1"/>
  <c r="L69" i="4"/>
  <c r="K69" i="4"/>
  <c r="G69" i="4"/>
  <c r="O69" i="4" s="1"/>
  <c r="L68" i="4"/>
  <c r="K68" i="4"/>
  <c r="G68" i="4"/>
  <c r="O68" i="4" s="1"/>
  <c r="L67" i="4"/>
  <c r="H67" i="4"/>
  <c r="K67" i="4" s="1"/>
  <c r="H65" i="4"/>
  <c r="E65" i="4"/>
  <c r="L64" i="4"/>
  <c r="L65" i="4" s="1"/>
  <c r="K64" i="4"/>
  <c r="H64" i="4"/>
  <c r="G64" i="4"/>
  <c r="G65" i="4" s="1"/>
  <c r="O61" i="4"/>
  <c r="O62" i="4" s="1"/>
  <c r="L61" i="4"/>
  <c r="L62" i="4" s="1"/>
  <c r="K61" i="4"/>
  <c r="K62" i="4" s="1"/>
  <c r="E59" i="4"/>
  <c r="L58" i="4"/>
  <c r="L59" i="4" s="1"/>
  <c r="H58" i="4"/>
  <c r="K58" i="4" s="1"/>
  <c r="G58" i="4"/>
  <c r="O58" i="4" s="1"/>
  <c r="O59" i="4" s="1"/>
  <c r="F58" i="4"/>
  <c r="F59" i="4" s="1"/>
  <c r="O55" i="4"/>
  <c r="L55" i="4"/>
  <c r="K55" i="4"/>
  <c r="O54" i="4"/>
  <c r="L54" i="4"/>
  <c r="K54" i="4"/>
  <c r="O53" i="4"/>
  <c r="L53" i="4"/>
  <c r="K53" i="4"/>
  <c r="J51" i="4"/>
  <c r="E51" i="4"/>
  <c r="L50" i="4"/>
  <c r="H50" i="4"/>
  <c r="K50" i="4" s="1"/>
  <c r="G50" i="4"/>
  <c r="O50" i="4" s="1"/>
  <c r="K49" i="4"/>
  <c r="H49" i="4"/>
  <c r="G49" i="4" s="1"/>
  <c r="O49" i="4" s="1"/>
  <c r="F49" i="4"/>
  <c r="L49" i="4" s="1"/>
  <c r="L48" i="4"/>
  <c r="H48" i="4"/>
  <c r="K48" i="4" s="1"/>
  <c r="L47" i="4"/>
  <c r="H47" i="4"/>
  <c r="G47" i="4" s="1"/>
  <c r="F47" i="4"/>
  <c r="L46" i="4"/>
  <c r="K46" i="4"/>
  <c r="H46" i="4"/>
  <c r="G46" i="4"/>
  <c r="O46" i="4" s="1"/>
  <c r="F46" i="4"/>
  <c r="F51" i="4" s="1"/>
  <c r="J44" i="4"/>
  <c r="J81" i="4" s="1"/>
  <c r="E44" i="4"/>
  <c r="L43" i="4"/>
  <c r="K43" i="4"/>
  <c r="H43" i="4"/>
  <c r="G43" i="4"/>
  <c r="O43" i="4" s="1"/>
  <c r="L42" i="4"/>
  <c r="H42" i="4"/>
  <c r="K42" i="4" s="1"/>
  <c r="G42" i="4"/>
  <c r="O42" i="4" s="1"/>
  <c r="L41" i="4"/>
  <c r="K41" i="4"/>
  <c r="H41" i="4"/>
  <c r="G41" i="4" s="1"/>
  <c r="O41" i="4" s="1"/>
  <c r="L40" i="4"/>
  <c r="K40" i="4"/>
  <c r="H40" i="4"/>
  <c r="G40" i="4"/>
  <c r="O40" i="4" s="1"/>
  <c r="L39" i="4"/>
  <c r="K39" i="4"/>
  <c r="H39" i="4"/>
  <c r="G39" i="4"/>
  <c r="O39" i="4" s="1"/>
  <c r="L38" i="4"/>
  <c r="H38" i="4"/>
  <c r="K38" i="4" s="1"/>
  <c r="G38" i="4"/>
  <c r="O38" i="4" s="1"/>
  <c r="L37" i="4"/>
  <c r="K37" i="4"/>
  <c r="H37" i="4"/>
  <c r="G37" i="4" s="1"/>
  <c r="O37" i="4" s="1"/>
  <c r="L36" i="4"/>
  <c r="K36" i="4"/>
  <c r="H36" i="4"/>
  <c r="G36" i="4"/>
  <c r="O36" i="4" s="1"/>
  <c r="K35" i="4"/>
  <c r="H35" i="4"/>
  <c r="G35" i="4"/>
  <c r="O35" i="4" s="1"/>
  <c r="F35" i="4"/>
  <c r="L35" i="4" s="1"/>
  <c r="H34" i="4"/>
  <c r="K34" i="4" s="1"/>
  <c r="F34" i="4"/>
  <c r="L34" i="4" s="1"/>
  <c r="L33" i="4"/>
  <c r="H33" i="4"/>
  <c r="K33" i="4" s="1"/>
  <c r="G33" i="4"/>
  <c r="O33" i="4" s="1"/>
  <c r="K32" i="4"/>
  <c r="H32" i="4"/>
  <c r="G32" i="4" s="1"/>
  <c r="O32" i="4" s="1"/>
  <c r="F32" i="4"/>
  <c r="L32" i="4" s="1"/>
  <c r="L31" i="4"/>
  <c r="H31" i="4"/>
  <c r="K31" i="4" s="1"/>
  <c r="F31" i="4"/>
  <c r="L30" i="4"/>
  <c r="K30" i="4"/>
  <c r="H30" i="4"/>
  <c r="G30" i="4"/>
  <c r="O30" i="4" s="1"/>
  <c r="K29" i="4"/>
  <c r="H29" i="4"/>
  <c r="G29" i="4"/>
  <c r="O29" i="4" s="1"/>
  <c r="F29" i="4"/>
  <c r="L29" i="4" s="1"/>
  <c r="H28" i="4"/>
  <c r="K28" i="4" s="1"/>
  <c r="F28" i="4"/>
  <c r="F44" i="4" s="1"/>
  <c r="L27" i="4"/>
  <c r="H27" i="4"/>
  <c r="K27" i="4" s="1"/>
  <c r="G27" i="4"/>
  <c r="O27" i="4" s="1"/>
  <c r="L26" i="4"/>
  <c r="K26" i="4"/>
  <c r="H26" i="4"/>
  <c r="G26" i="4" s="1"/>
  <c r="E24" i="4"/>
  <c r="L23" i="4"/>
  <c r="K23" i="4"/>
  <c r="H23" i="4"/>
  <c r="G23" i="4"/>
  <c r="O23" i="4" s="1"/>
  <c r="L22" i="4"/>
  <c r="K22" i="4"/>
  <c r="H22" i="4"/>
  <c r="G22" i="4"/>
  <c r="O22" i="4" s="1"/>
  <c r="L21" i="4"/>
  <c r="H21" i="4"/>
  <c r="K21" i="4" s="1"/>
  <c r="G21" i="4"/>
  <c r="O21" i="4" s="1"/>
  <c r="F21" i="4"/>
  <c r="K20" i="4"/>
  <c r="H20" i="4"/>
  <c r="F20" i="4"/>
  <c r="L20" i="4" s="1"/>
  <c r="L19" i="4"/>
  <c r="K19" i="4"/>
  <c r="H19" i="4"/>
  <c r="G19" i="4" s="1"/>
  <c r="O19" i="4" s="1"/>
  <c r="L18" i="4"/>
  <c r="K18" i="4"/>
  <c r="H18" i="4"/>
  <c r="H24" i="4" s="1"/>
  <c r="G18" i="4"/>
  <c r="O18" i="4" s="1"/>
  <c r="L17" i="4"/>
  <c r="K17" i="4"/>
  <c r="H17" i="4"/>
  <c r="G17" i="4"/>
  <c r="O17" i="4" s="1"/>
  <c r="L16" i="4"/>
  <c r="H16" i="4"/>
  <c r="K16" i="4" s="1"/>
  <c r="G16" i="4"/>
  <c r="O16" i="4" s="1"/>
  <c r="L15" i="4"/>
  <c r="K15" i="4"/>
  <c r="H15" i="4"/>
  <c r="G15" i="4" s="1"/>
  <c r="H13" i="4"/>
  <c r="E13" i="4"/>
  <c r="K12" i="4"/>
  <c r="H12" i="4"/>
  <c r="G12" i="4"/>
  <c r="G13" i="4" s="1"/>
  <c r="F12" i="4"/>
  <c r="F13" i="4" s="1"/>
  <c r="O11" i="4"/>
  <c r="L11" i="4"/>
  <c r="H11" i="4"/>
  <c r="K11" i="4" s="1"/>
  <c r="O10" i="4"/>
  <c r="L10" i="4"/>
  <c r="H10" i="4"/>
  <c r="K10" i="4" s="1"/>
  <c r="K137" i="3"/>
  <c r="M137" i="3" s="1"/>
  <c r="I137" i="3"/>
  <c r="I138" i="3" s="1"/>
  <c r="I139" i="3" s="1"/>
  <c r="M136" i="3"/>
  <c r="J136" i="3"/>
  <c r="K135" i="3"/>
  <c r="M135" i="3" s="1"/>
  <c r="I135" i="3"/>
  <c r="K134" i="3"/>
  <c r="M134" i="3" s="1"/>
  <c r="J134" i="3"/>
  <c r="I134" i="3"/>
  <c r="M133" i="3"/>
  <c r="J133" i="3"/>
  <c r="M132" i="3"/>
  <c r="J132" i="3"/>
  <c r="K131" i="3"/>
  <c r="M131" i="3" s="1"/>
  <c r="J131" i="3"/>
  <c r="I131" i="3"/>
  <c r="K130" i="3"/>
  <c r="M130" i="3" s="1"/>
  <c r="I130" i="3"/>
  <c r="K129" i="3"/>
  <c r="K138" i="3" s="1"/>
  <c r="K139" i="3" s="1"/>
  <c r="J129" i="3"/>
  <c r="I129" i="3"/>
  <c r="K108" i="3"/>
  <c r="M108" i="3" s="1"/>
  <c r="I108" i="3"/>
  <c r="I109" i="3" s="1"/>
  <c r="I126" i="3" s="1"/>
  <c r="M107" i="3"/>
  <c r="M106" i="3"/>
  <c r="M109" i="3" s="1"/>
  <c r="M98" i="3"/>
  <c r="M97" i="3"/>
  <c r="K94" i="3"/>
  <c r="M94" i="3" s="1"/>
  <c r="J94" i="3"/>
  <c r="I94" i="3"/>
  <c r="K93" i="3"/>
  <c r="M93" i="3" s="1"/>
  <c r="I93" i="3"/>
  <c r="M92" i="3"/>
  <c r="J92" i="3"/>
  <c r="M91" i="3"/>
  <c r="J91" i="3"/>
  <c r="K90" i="3"/>
  <c r="K95" i="3" s="1"/>
  <c r="I90" i="3"/>
  <c r="I95" i="3" s="1"/>
  <c r="M87" i="3"/>
  <c r="J87" i="3"/>
  <c r="K86" i="3"/>
  <c r="M86" i="3" s="1"/>
  <c r="I86" i="3"/>
  <c r="M85" i="3"/>
  <c r="J85" i="3"/>
  <c r="K84" i="3"/>
  <c r="M84" i="3" s="1"/>
  <c r="M88" i="3" s="1"/>
  <c r="I84" i="3"/>
  <c r="I88" i="3" s="1"/>
  <c r="J71" i="3"/>
  <c r="I71" i="3"/>
  <c r="M70" i="3"/>
  <c r="K69" i="3"/>
  <c r="K71" i="3" s="1"/>
  <c r="M68" i="3"/>
  <c r="M67" i="3"/>
  <c r="K64" i="3"/>
  <c r="J64" i="3" s="1"/>
  <c r="J65" i="3" s="1"/>
  <c r="I64" i="3"/>
  <c r="I65" i="3" s="1"/>
  <c r="K61" i="3"/>
  <c r="J61" i="3" s="1"/>
  <c r="J62" i="3" s="1"/>
  <c r="I61" i="3"/>
  <c r="I62" i="3" s="1"/>
  <c r="K58" i="3"/>
  <c r="J58" i="3" s="1"/>
  <c r="J59" i="3" s="1"/>
  <c r="I58" i="3"/>
  <c r="I59" i="3" s="1"/>
  <c r="M55" i="3"/>
  <c r="M54" i="3"/>
  <c r="K53" i="3"/>
  <c r="M53" i="3" s="1"/>
  <c r="M56" i="3" s="1"/>
  <c r="J53" i="3"/>
  <c r="J56" i="3" s="1"/>
  <c r="I53" i="3"/>
  <c r="I56" i="3" s="1"/>
  <c r="M50" i="3"/>
  <c r="J50" i="3"/>
  <c r="M49" i="3"/>
  <c r="K49" i="3"/>
  <c r="J49" i="3"/>
  <c r="I49" i="3"/>
  <c r="M48" i="3"/>
  <c r="J48" i="3"/>
  <c r="K47" i="3"/>
  <c r="M47" i="3" s="1"/>
  <c r="J47" i="3"/>
  <c r="I47" i="3"/>
  <c r="M46" i="3"/>
  <c r="K46" i="3"/>
  <c r="K51" i="3" s="1"/>
  <c r="I46" i="3"/>
  <c r="I51" i="3" s="1"/>
  <c r="M43" i="3"/>
  <c r="J43" i="3"/>
  <c r="K42" i="3"/>
  <c r="J42" i="3" s="1"/>
  <c r="I42" i="3"/>
  <c r="M41" i="3"/>
  <c r="J41" i="3"/>
  <c r="M40" i="3"/>
  <c r="K40" i="3"/>
  <c r="J40" i="3"/>
  <c r="M39" i="3"/>
  <c r="J39" i="3"/>
  <c r="M38" i="3"/>
  <c r="J38" i="3"/>
  <c r="M37" i="3"/>
  <c r="J37" i="3"/>
  <c r="M36" i="3"/>
  <c r="J36" i="3"/>
  <c r="M35" i="3"/>
  <c r="K35" i="3"/>
  <c r="I35" i="3"/>
  <c r="J35" i="3" s="1"/>
  <c r="M34" i="3"/>
  <c r="J34" i="3"/>
  <c r="K33" i="3"/>
  <c r="M33" i="3" s="1"/>
  <c r="J33" i="3"/>
  <c r="I33" i="3"/>
  <c r="K32" i="3"/>
  <c r="M32" i="3" s="1"/>
  <c r="I32" i="3"/>
  <c r="M31" i="3"/>
  <c r="I31" i="3"/>
  <c r="J31" i="3" s="1"/>
  <c r="M30" i="3"/>
  <c r="J30" i="3"/>
  <c r="M29" i="3"/>
  <c r="K29" i="3"/>
  <c r="J29" i="3"/>
  <c r="I29" i="3"/>
  <c r="K28" i="3"/>
  <c r="J28" i="3" s="1"/>
  <c r="I28" i="3"/>
  <c r="M27" i="3"/>
  <c r="J27" i="3"/>
  <c r="M26" i="3"/>
  <c r="I26" i="3"/>
  <c r="I44" i="3" s="1"/>
  <c r="M23" i="3"/>
  <c r="J23" i="3"/>
  <c r="K22" i="3"/>
  <c r="M22" i="3" s="1"/>
  <c r="J22" i="3"/>
  <c r="I22" i="3"/>
  <c r="K21" i="3"/>
  <c r="M21" i="3" s="1"/>
  <c r="I21" i="3"/>
  <c r="M20" i="3"/>
  <c r="I20" i="3"/>
  <c r="I24" i="3" s="1"/>
  <c r="M19" i="3"/>
  <c r="J19" i="3"/>
  <c r="M18" i="3"/>
  <c r="K18" i="3"/>
  <c r="J18" i="3"/>
  <c r="I18" i="3"/>
  <c r="K17" i="3"/>
  <c r="J17" i="3" s="1"/>
  <c r="I17" i="3"/>
  <c r="M16" i="3"/>
  <c r="K16" i="3"/>
  <c r="J16" i="3"/>
  <c r="I16" i="3"/>
  <c r="K15" i="3"/>
  <c r="K24" i="3" s="1"/>
  <c r="I15" i="3"/>
  <c r="K12" i="3"/>
  <c r="J12" i="3" s="1"/>
  <c r="I12" i="3"/>
  <c r="M11" i="3"/>
  <c r="J11" i="3"/>
  <c r="M10" i="3"/>
  <c r="K10" i="3"/>
  <c r="K13" i="3" s="1"/>
  <c r="I10" i="3"/>
  <c r="J10" i="3" s="1"/>
  <c r="J13" i="3" s="1"/>
  <c r="M103" i="2"/>
  <c r="M104" i="2" s="1"/>
  <c r="J103" i="2"/>
  <c r="J104" i="2" s="1"/>
  <c r="E103" i="2"/>
  <c r="E104" i="2" s="1"/>
  <c r="L102" i="2"/>
  <c r="K102" i="2"/>
  <c r="H102" i="2"/>
  <c r="G102" i="2" s="1"/>
  <c r="O102" i="2" s="1"/>
  <c r="F102" i="2"/>
  <c r="L101" i="2"/>
  <c r="K101" i="2"/>
  <c r="H101" i="2"/>
  <c r="G101" i="2" s="1"/>
  <c r="O101" i="2" s="1"/>
  <c r="L100" i="2"/>
  <c r="K100" i="2"/>
  <c r="H100" i="2"/>
  <c r="G100" i="2"/>
  <c r="O100" i="2" s="1"/>
  <c r="L99" i="2"/>
  <c r="K99" i="2"/>
  <c r="H99" i="2"/>
  <c r="G99" i="2"/>
  <c r="O99" i="2" s="1"/>
  <c r="F99" i="2"/>
  <c r="F103" i="2" s="1"/>
  <c r="F104" i="2" s="1"/>
  <c r="L98" i="2"/>
  <c r="K98" i="2"/>
  <c r="H98" i="2"/>
  <c r="G98" i="2"/>
  <c r="O98" i="2" s="1"/>
  <c r="O97" i="2"/>
  <c r="L97" i="2"/>
  <c r="K97" i="2"/>
  <c r="H97" i="2"/>
  <c r="G97" i="2"/>
  <c r="L96" i="2"/>
  <c r="K96" i="2"/>
  <c r="H96" i="2"/>
  <c r="G96" i="2" s="1"/>
  <c r="O96" i="2" s="1"/>
  <c r="L95" i="2"/>
  <c r="K95" i="2"/>
  <c r="H95" i="2"/>
  <c r="G95" i="2" s="1"/>
  <c r="O95" i="2" s="1"/>
  <c r="L94" i="2"/>
  <c r="K94" i="2"/>
  <c r="H94" i="2"/>
  <c r="H103" i="2" s="1"/>
  <c r="H104" i="2" s="1"/>
  <c r="G94" i="2"/>
  <c r="O94" i="2" s="1"/>
  <c r="E91" i="2"/>
  <c r="N87" i="2"/>
  <c r="O86" i="2"/>
  <c r="L86" i="2"/>
  <c r="L87" i="2" s="1"/>
  <c r="K86" i="2"/>
  <c r="K87" i="2" s="1"/>
  <c r="M80" i="2"/>
  <c r="H80" i="2"/>
  <c r="E80" i="2"/>
  <c r="L79" i="2"/>
  <c r="L80" i="2" s="1"/>
  <c r="K79" i="2"/>
  <c r="H79" i="2"/>
  <c r="G79" i="2"/>
  <c r="O79" i="2" s="1"/>
  <c r="F79" i="2"/>
  <c r="F80" i="2" s="1"/>
  <c r="M69" i="2"/>
  <c r="K69" i="2"/>
  <c r="H69" i="2"/>
  <c r="H91" i="2" s="1"/>
  <c r="E69" i="2"/>
  <c r="L67" i="2"/>
  <c r="N67" i="2" s="1"/>
  <c r="N69" i="2" s="1"/>
  <c r="H67" i="2"/>
  <c r="F67" i="2"/>
  <c r="F69" i="2" s="1"/>
  <c r="O64" i="2"/>
  <c r="L64" i="2"/>
  <c r="K64" i="2"/>
  <c r="O47" i="2"/>
  <c r="L47" i="2"/>
  <c r="K47" i="2"/>
  <c r="O46" i="2"/>
  <c r="L46" i="2"/>
  <c r="K46" i="2"/>
  <c r="H44" i="2"/>
  <c r="E44" i="2"/>
  <c r="L43" i="2"/>
  <c r="K43" i="2"/>
  <c r="G43" i="2"/>
  <c r="O43" i="2" s="1"/>
  <c r="L42" i="2"/>
  <c r="K42" i="2"/>
  <c r="H42" i="2"/>
  <c r="F42" i="2"/>
  <c r="F44" i="2" s="1"/>
  <c r="J40" i="2"/>
  <c r="J49" i="2" s="1"/>
  <c r="E40" i="2"/>
  <c r="L39" i="2"/>
  <c r="K39" i="2"/>
  <c r="H39" i="2"/>
  <c r="F39" i="2"/>
  <c r="G39" i="2" s="1"/>
  <c r="O39" i="2" s="1"/>
  <c r="L38" i="2"/>
  <c r="K38" i="2"/>
  <c r="H38" i="2"/>
  <c r="G38" i="2" s="1"/>
  <c r="O38" i="2" s="1"/>
  <c r="F38" i="2"/>
  <c r="L37" i="2"/>
  <c r="K37" i="2"/>
  <c r="H37" i="2"/>
  <c r="G37" i="2" s="1"/>
  <c r="O37" i="2" s="1"/>
  <c r="L36" i="2"/>
  <c r="K36" i="2"/>
  <c r="H36" i="2"/>
  <c r="G36" i="2" s="1"/>
  <c r="F36" i="2"/>
  <c r="O33" i="2"/>
  <c r="K33" i="2"/>
  <c r="E31" i="2"/>
  <c r="E49" i="2" s="1"/>
  <c r="O30" i="2"/>
  <c r="L30" i="2"/>
  <c r="K30" i="2"/>
  <c r="H30" i="2"/>
  <c r="O29" i="2"/>
  <c r="L29" i="2"/>
  <c r="K29" i="2"/>
  <c r="H29" i="2"/>
  <c r="O28" i="2"/>
  <c r="L28" i="2"/>
  <c r="K28" i="2"/>
  <c r="H28" i="2"/>
  <c r="F28" i="2"/>
  <c r="O27" i="2"/>
  <c r="L27" i="2"/>
  <c r="K27" i="2"/>
  <c r="H27" i="2"/>
  <c r="O26" i="2"/>
  <c r="L26" i="2"/>
  <c r="K26" i="2"/>
  <c r="H26" i="2"/>
  <c r="O25" i="2"/>
  <c r="L25" i="2"/>
  <c r="K25" i="2"/>
  <c r="H25" i="2"/>
  <c r="H31" i="2" s="1"/>
  <c r="F25" i="2"/>
  <c r="F31" i="2" s="1"/>
  <c r="L22" i="2"/>
  <c r="M22" i="2" s="1"/>
  <c r="M23" i="2" s="1"/>
  <c r="M102" i="1"/>
  <c r="K102" i="1"/>
  <c r="I102" i="1"/>
  <c r="I103" i="1" s="1"/>
  <c r="I104" i="1" s="1"/>
  <c r="M101" i="1"/>
  <c r="J101" i="1"/>
  <c r="K100" i="1"/>
  <c r="M100" i="1" s="1"/>
  <c r="J100" i="1"/>
  <c r="I100" i="1"/>
  <c r="K99" i="1"/>
  <c r="J99" i="1" s="1"/>
  <c r="I99" i="1"/>
  <c r="M98" i="1"/>
  <c r="J98" i="1"/>
  <c r="M97" i="1"/>
  <c r="J97" i="1"/>
  <c r="K96" i="1"/>
  <c r="J96" i="1" s="1"/>
  <c r="I96" i="1"/>
  <c r="K95" i="1"/>
  <c r="M95" i="1" s="1"/>
  <c r="J95" i="1"/>
  <c r="I95" i="1"/>
  <c r="K94" i="1"/>
  <c r="J94" i="1" s="1"/>
  <c r="I94" i="1"/>
  <c r="J87" i="1"/>
  <c r="K86" i="1"/>
  <c r="K87" i="1" s="1"/>
  <c r="I86" i="1"/>
  <c r="I87" i="1" s="1"/>
  <c r="M69" i="1"/>
  <c r="M91" i="1" s="1"/>
  <c r="K67" i="1"/>
  <c r="K69" i="1" s="1"/>
  <c r="I67" i="1"/>
  <c r="I69" i="1" s="1"/>
  <c r="I48" i="1"/>
  <c r="K47" i="1"/>
  <c r="M47" i="1" s="1"/>
  <c r="M48" i="1" s="1"/>
  <c r="M49" i="1" s="1"/>
  <c r="I47" i="1"/>
  <c r="K46" i="1"/>
  <c r="L46" i="1" s="1"/>
  <c r="L48" i="1" s="1"/>
  <c r="I46" i="1"/>
  <c r="K44" i="1"/>
  <c r="L43" i="1"/>
  <c r="J43" i="1"/>
  <c r="L42" i="1"/>
  <c r="L44" i="1" s="1"/>
  <c r="K42" i="1"/>
  <c r="I42" i="1"/>
  <c r="I44" i="1" s="1"/>
  <c r="L39" i="1"/>
  <c r="K39" i="1"/>
  <c r="I39" i="1"/>
  <c r="L37" i="1"/>
  <c r="K36" i="1"/>
  <c r="L36" i="1" s="1"/>
  <c r="L40" i="1" s="1"/>
  <c r="I36" i="1"/>
  <c r="I40" i="1" s="1"/>
  <c r="K30" i="1"/>
  <c r="L30" i="1" s="1"/>
  <c r="I30" i="1"/>
  <c r="M29" i="1"/>
  <c r="J29" i="1"/>
  <c r="K28" i="1"/>
  <c r="J28" i="1" s="1"/>
  <c r="I28" i="1"/>
  <c r="J27" i="1"/>
  <c r="J26" i="1"/>
  <c r="M25" i="1"/>
  <c r="M31" i="1" s="1"/>
  <c r="K25" i="1"/>
  <c r="I25" i="1"/>
  <c r="I31" i="1" s="1"/>
  <c r="J23" i="1"/>
  <c r="L22" i="1"/>
  <c r="L23" i="1" s="1"/>
  <c r="K22" i="1"/>
  <c r="K23" i="1" s="1"/>
  <c r="I22" i="1"/>
  <c r="I23" i="1" s="1"/>
  <c r="N98" i="4" l="1"/>
  <c r="N15" i="4"/>
  <c r="N131" i="4"/>
  <c r="N133" i="4"/>
  <c r="N137" i="4"/>
  <c r="N134" i="4"/>
  <c r="N38" i="2"/>
  <c r="M64" i="2"/>
  <c r="N68" i="4"/>
  <c r="M28" i="2"/>
  <c r="K31" i="2"/>
  <c r="N27" i="2"/>
  <c r="N39" i="2"/>
  <c r="N87" i="4"/>
  <c r="N93" i="4"/>
  <c r="N97" i="4"/>
  <c r="N99" i="4" s="1"/>
  <c r="N22" i="4"/>
  <c r="N26" i="4"/>
  <c r="N94" i="4"/>
  <c r="K44" i="2"/>
  <c r="N19" i="4"/>
  <c r="N29" i="2"/>
  <c r="N96" i="2"/>
  <c r="N70" i="4"/>
  <c r="N31" i="4"/>
  <c r="N36" i="4"/>
  <c r="N43" i="4"/>
  <c r="N41" i="4"/>
  <c r="N92" i="4"/>
  <c r="N95" i="2"/>
  <c r="N101" i="2"/>
  <c r="N33" i="4"/>
  <c r="N38" i="4"/>
  <c r="N40" i="4"/>
  <c r="N49" i="4"/>
  <c r="N26" i="2"/>
  <c r="N20" i="4"/>
  <c r="N85" i="4"/>
  <c r="N42" i="2"/>
  <c r="N44" i="2" s="1"/>
  <c r="N97" i="2"/>
  <c r="N18" i="4"/>
  <c r="N32" i="4"/>
  <c r="N39" i="4"/>
  <c r="N50" i="4"/>
  <c r="N27" i="4"/>
  <c r="N37" i="4"/>
  <c r="N86" i="4"/>
  <c r="L31" i="2"/>
  <c r="N47" i="2"/>
  <c r="N48" i="2" s="1"/>
  <c r="N79" i="2"/>
  <c r="N80" i="2" s="1"/>
  <c r="N91" i="2" s="1"/>
  <c r="N99" i="2"/>
  <c r="N21" i="4"/>
  <c r="N23" i="4"/>
  <c r="N42" i="4"/>
  <c r="N48" i="4"/>
  <c r="N69" i="4"/>
  <c r="N55" i="4"/>
  <c r="O31" i="2"/>
  <c r="L40" i="2"/>
  <c r="L56" i="4"/>
  <c r="N25" i="2"/>
  <c r="M30" i="2"/>
  <c r="N11" i="4"/>
  <c r="N29" i="4"/>
  <c r="K40" i="2"/>
  <c r="M43" i="2"/>
  <c r="K48" i="2"/>
  <c r="K56" i="4"/>
  <c r="L71" i="4"/>
  <c r="K99" i="4"/>
  <c r="N61" i="4"/>
  <c r="N62" i="4" s="1"/>
  <c r="N37" i="2"/>
  <c r="L44" i="2"/>
  <c r="L48" i="2"/>
  <c r="K103" i="2"/>
  <c r="K104" i="2" s="1"/>
  <c r="N98" i="2"/>
  <c r="N17" i="4"/>
  <c r="N54" i="4"/>
  <c r="L95" i="4"/>
  <c r="M46" i="2"/>
  <c r="M48" i="2" s="1"/>
  <c r="L103" i="2"/>
  <c r="L104" i="2" s="1"/>
  <c r="N100" i="2"/>
  <c r="N102" i="2"/>
  <c r="L24" i="4"/>
  <c r="N30" i="4"/>
  <c r="N35" i="4"/>
  <c r="L51" i="4"/>
  <c r="O56" i="4"/>
  <c r="N64" i="4"/>
  <c r="N65" i="4" s="1"/>
  <c r="N91" i="4"/>
  <c r="N135" i="4"/>
  <c r="G99" i="4"/>
  <c r="O26" i="4"/>
  <c r="N108" i="4"/>
  <c r="N109" i="4" s="1"/>
  <c r="K109" i="4"/>
  <c r="N10" i="4"/>
  <c r="K13" i="4"/>
  <c r="K44" i="4"/>
  <c r="L99" i="4"/>
  <c r="L138" i="4"/>
  <c r="L139" i="4" s="1"/>
  <c r="N129" i="4"/>
  <c r="O84" i="4"/>
  <c r="N16" i="4"/>
  <c r="K24" i="4"/>
  <c r="O129" i="4"/>
  <c r="N34" i="4"/>
  <c r="K71" i="4"/>
  <c r="N67" i="4"/>
  <c r="O15" i="4"/>
  <c r="N58" i="4"/>
  <c r="N59" i="4" s="1"/>
  <c r="K59" i="4"/>
  <c r="O90" i="4"/>
  <c r="O47" i="4"/>
  <c r="L12" i="4"/>
  <c r="N12" i="4" s="1"/>
  <c r="G28" i="4"/>
  <c r="O28" i="4" s="1"/>
  <c r="G34" i="4"/>
  <c r="O34" i="4" s="1"/>
  <c r="H44" i="4"/>
  <c r="K47" i="4"/>
  <c r="N47" i="4" s="1"/>
  <c r="K65" i="4"/>
  <c r="L84" i="4"/>
  <c r="H88" i="4"/>
  <c r="K90" i="4"/>
  <c r="H95" i="4"/>
  <c r="H126" i="4" s="1"/>
  <c r="F109" i="4"/>
  <c r="G135" i="4"/>
  <c r="O135" i="4" s="1"/>
  <c r="K136" i="4"/>
  <c r="N136" i="4" s="1"/>
  <c r="G20" i="4"/>
  <c r="O20" i="4" s="1"/>
  <c r="H51" i="4"/>
  <c r="N53" i="4"/>
  <c r="H59" i="4"/>
  <c r="G86" i="4"/>
  <c r="O86" i="4" s="1"/>
  <c r="F99" i="4"/>
  <c r="G134" i="4"/>
  <c r="O134" i="4" s="1"/>
  <c r="K88" i="4"/>
  <c r="L28" i="4"/>
  <c r="N28" i="4" s="1"/>
  <c r="N46" i="4"/>
  <c r="G98" i="4"/>
  <c r="O98" i="4" s="1"/>
  <c r="O99" i="4" s="1"/>
  <c r="K130" i="4"/>
  <c r="G59" i="4"/>
  <c r="O12" i="4"/>
  <c r="O13" i="4" s="1"/>
  <c r="F24" i="4"/>
  <c r="F81" i="4" s="1"/>
  <c r="G31" i="4"/>
  <c r="O31" i="4" s="1"/>
  <c r="G48" i="4"/>
  <c r="O48" i="4" s="1"/>
  <c r="O64" i="4"/>
  <c r="O65" i="4" s="1"/>
  <c r="G67" i="4"/>
  <c r="H71" i="4"/>
  <c r="G91" i="4"/>
  <c r="O91" i="4" s="1"/>
  <c r="F138" i="4"/>
  <c r="F139" i="4" s="1"/>
  <c r="M44" i="3"/>
  <c r="M51" i="3"/>
  <c r="M12" i="3"/>
  <c r="M13" i="3" s="1"/>
  <c r="M17" i="3"/>
  <c r="M61" i="3"/>
  <c r="M62" i="3" s="1"/>
  <c r="K88" i="3"/>
  <c r="I13" i="3"/>
  <c r="I81" i="3" s="1"/>
  <c r="I140" i="3" s="1"/>
  <c r="J26" i="3"/>
  <c r="J44" i="3" s="1"/>
  <c r="J86" i="3"/>
  <c r="M129" i="3"/>
  <c r="M138" i="3" s="1"/>
  <c r="M139" i="3" s="1"/>
  <c r="J137" i="3"/>
  <c r="M15" i="3"/>
  <c r="M24" i="3" s="1"/>
  <c r="J20" i="3"/>
  <c r="M28" i="3"/>
  <c r="J46" i="3"/>
  <c r="J51" i="3" s="1"/>
  <c r="M58" i="3"/>
  <c r="M59" i="3" s="1"/>
  <c r="M69" i="3"/>
  <c r="M71" i="3" s="1"/>
  <c r="M81" i="3" s="1"/>
  <c r="M42" i="3"/>
  <c r="M64" i="3"/>
  <c r="M65" i="3" s="1"/>
  <c r="K109" i="3"/>
  <c r="K126" i="3" s="1"/>
  <c r="J21" i="3"/>
  <c r="J32" i="3"/>
  <c r="K56" i="3"/>
  <c r="K59" i="3"/>
  <c r="K62" i="3"/>
  <c r="K65" i="3"/>
  <c r="J84" i="3"/>
  <c r="J90" i="3"/>
  <c r="J93" i="3"/>
  <c r="J108" i="3"/>
  <c r="J109" i="3" s="1"/>
  <c r="J130" i="3"/>
  <c r="J138" i="3" s="1"/>
  <c r="J139" i="3" s="1"/>
  <c r="J135" i="3"/>
  <c r="K44" i="3"/>
  <c r="K81" i="3" s="1"/>
  <c r="M90" i="3"/>
  <c r="M95" i="3" s="1"/>
  <c r="M126" i="3" s="1"/>
  <c r="J15" i="3"/>
  <c r="O103" i="2"/>
  <c r="O104" i="2" s="1"/>
  <c r="J105" i="2"/>
  <c r="H49" i="2"/>
  <c r="H105" i="2" s="1"/>
  <c r="F91" i="2"/>
  <c r="P80" i="2"/>
  <c r="O80" i="2"/>
  <c r="O36" i="2"/>
  <c r="O40" i="2" s="1"/>
  <c r="G40" i="2"/>
  <c r="E105" i="2"/>
  <c r="G80" i="2"/>
  <c r="F40" i="2"/>
  <c r="F49" i="2" s="1"/>
  <c r="F105" i="2" s="1"/>
  <c r="K80" i="2"/>
  <c r="K91" i="2" s="1"/>
  <c r="M86" i="2"/>
  <c r="M87" i="2" s="1"/>
  <c r="M91" i="2" s="1"/>
  <c r="N36" i="2"/>
  <c r="G42" i="2"/>
  <c r="L69" i="2"/>
  <c r="L91" i="2" s="1"/>
  <c r="G103" i="2"/>
  <c r="G104" i="2" s="1"/>
  <c r="L23" i="2"/>
  <c r="H40" i="2"/>
  <c r="N94" i="2"/>
  <c r="G67" i="2"/>
  <c r="L49" i="1"/>
  <c r="I91" i="1"/>
  <c r="I49" i="1"/>
  <c r="I111" i="1" s="1"/>
  <c r="K91" i="1"/>
  <c r="J25" i="1"/>
  <c r="J31" i="1" s="1"/>
  <c r="L28" i="1"/>
  <c r="L31" i="1" s="1"/>
  <c r="K31" i="1"/>
  <c r="J42" i="1"/>
  <c r="J44" i="1" s="1"/>
  <c r="K48" i="1"/>
  <c r="M94" i="1"/>
  <c r="M96" i="1"/>
  <c r="M99" i="1"/>
  <c r="J102" i="1"/>
  <c r="J103" i="1" s="1"/>
  <c r="J104" i="1" s="1"/>
  <c r="J67" i="1"/>
  <c r="J69" i="1" s="1"/>
  <c r="J91" i="1" s="1"/>
  <c r="J36" i="1"/>
  <c r="J40" i="1" s="1"/>
  <c r="L67" i="1"/>
  <c r="L69" i="1" s="1"/>
  <c r="K40" i="1"/>
  <c r="K103" i="1"/>
  <c r="K104" i="1" s="1"/>
  <c r="L86" i="1"/>
  <c r="L87" i="1" s="1"/>
  <c r="N31" i="2" l="1"/>
  <c r="N40" i="2"/>
  <c r="N49" i="2" s="1"/>
  <c r="M31" i="2"/>
  <c r="K49" i="2"/>
  <c r="M49" i="2"/>
  <c r="M105" i="2" s="1"/>
  <c r="N103" i="2"/>
  <c r="N104" i="2" s="1"/>
  <c r="N71" i="4"/>
  <c r="N24" i="4"/>
  <c r="O51" i="4"/>
  <c r="L13" i="4"/>
  <c r="N56" i="4"/>
  <c r="K105" i="2"/>
  <c r="O138" i="4"/>
  <c r="O139" i="4" s="1"/>
  <c r="N44" i="4"/>
  <c r="L49" i="2"/>
  <c r="L105" i="2" s="1"/>
  <c r="E13" i="5"/>
  <c r="E14" i="5" s="1"/>
  <c r="F9" i="8"/>
  <c r="G95" i="4"/>
  <c r="G126" i="4" s="1"/>
  <c r="G138" i="4"/>
  <c r="G139" i="4" s="1"/>
  <c r="G88" i="4"/>
  <c r="N13" i="4"/>
  <c r="F140" i="4"/>
  <c r="F126" i="4"/>
  <c r="O95" i="4"/>
  <c r="O88" i="4"/>
  <c r="G24" i="4"/>
  <c r="H81" i="4"/>
  <c r="H140" i="4" s="1"/>
  <c r="N130" i="4"/>
  <c r="N138" i="4" s="1"/>
  <c r="N139" i="4" s="1"/>
  <c r="K138" i="4"/>
  <c r="K139" i="4" s="1"/>
  <c r="K95" i="4"/>
  <c r="K126" i="4" s="1"/>
  <c r="N90" i="4"/>
  <c r="N95" i="4" s="1"/>
  <c r="K51" i="4"/>
  <c r="K81" i="4" s="1"/>
  <c r="L44" i="4"/>
  <c r="G71" i="4"/>
  <c r="O67" i="4"/>
  <c r="O71" i="4" s="1"/>
  <c r="G44" i="4"/>
  <c r="N51" i="4"/>
  <c r="N84" i="4"/>
  <c r="N88" i="4" s="1"/>
  <c r="L88" i="4"/>
  <c r="L126" i="4" s="1"/>
  <c r="G51" i="4"/>
  <c r="O24" i="4"/>
  <c r="O44" i="4"/>
  <c r="J81" i="3"/>
  <c r="K140" i="3"/>
  <c r="J95" i="3"/>
  <c r="J126" i="3" s="1"/>
  <c r="J140" i="3" s="1"/>
  <c r="J24" i="3"/>
  <c r="J88" i="3"/>
  <c r="M140" i="3"/>
  <c r="O67" i="2"/>
  <c r="O69" i="2" s="1"/>
  <c r="O91" i="2" s="1"/>
  <c r="G69" i="2"/>
  <c r="G91" i="2" s="1"/>
  <c r="O42" i="2"/>
  <c r="O44" i="2" s="1"/>
  <c r="O49" i="2" s="1"/>
  <c r="G44" i="2"/>
  <c r="G49" i="2" s="1"/>
  <c r="G105" i="2" s="1"/>
  <c r="J111" i="1"/>
  <c r="M103" i="1"/>
  <c r="M104" i="1" s="1"/>
  <c r="M111" i="1" s="1"/>
  <c r="K49" i="1"/>
  <c r="K111" i="1" s="1"/>
  <c r="L91" i="1"/>
  <c r="L111" i="1" s="1"/>
  <c r="J49" i="1"/>
  <c r="N105" i="2" l="1"/>
  <c r="P105" i="2"/>
  <c r="L81" i="4"/>
  <c r="O126" i="4"/>
  <c r="O105" i="2"/>
  <c r="N81" i="4"/>
  <c r="O81" i="4"/>
  <c r="O140" i="4" s="1"/>
  <c r="L140" i="4"/>
  <c r="N126" i="4"/>
  <c r="G140" i="4"/>
  <c r="K140" i="4"/>
  <c r="G81" i="4"/>
  <c r="N140" i="4" l="1"/>
  <c r="Z15" i="9"/>
  <c r="L37" i="9" l="1"/>
  <c r="M37" i="9" s="1"/>
  <c r="M38" i="9" s="1"/>
  <c r="J34" i="8" l="1"/>
  <c r="H34" i="8"/>
  <c r="J32" i="8"/>
  <c r="H32" i="8"/>
  <c r="J17" i="8"/>
  <c r="H17" i="8"/>
  <c r="J11" i="8"/>
  <c r="H11" i="8"/>
  <c r="J29" i="8" l="1"/>
  <c r="J35" i="8" s="1"/>
  <c r="J37" i="8" s="1"/>
  <c r="H29" i="8"/>
  <c r="H35" i="8" s="1"/>
  <c r="H15" i="8"/>
  <c r="I42" i="8" s="1"/>
  <c r="J15" i="8"/>
  <c r="K42" i="8" s="1"/>
  <c r="K41" i="8" l="1"/>
  <c r="K43" i="8" s="1"/>
  <c r="K44" i="8" s="1"/>
  <c r="I41" i="8"/>
  <c r="I43" i="8" s="1"/>
  <c r="I44" i="8" s="1"/>
  <c r="H18" i="8"/>
  <c r="I45" i="8" s="1"/>
  <c r="J18" i="8"/>
  <c r="K45" i="8" s="1"/>
  <c r="J20" i="8" l="1"/>
  <c r="H20" i="8"/>
  <c r="H37" i="8" s="1"/>
  <c r="D35" i="6" l="1"/>
  <c r="D34" i="5"/>
  <c r="C21" i="5"/>
  <c r="C22" i="5" s="1"/>
  <c r="C11" i="6"/>
  <c r="F11" i="6"/>
  <c r="C19" i="6"/>
  <c r="F19" i="6"/>
  <c r="E35" i="6"/>
  <c r="G35" i="6"/>
  <c r="C37" i="6"/>
  <c r="C45" i="6" s="1"/>
  <c r="F37" i="6"/>
  <c r="F45" i="6" s="1"/>
  <c r="G44" i="6"/>
  <c r="H44" i="6"/>
  <c r="G49" i="6"/>
  <c r="G50" i="6" s="1"/>
  <c r="H49" i="6"/>
  <c r="H50" i="6" s="1"/>
  <c r="C49" i="6"/>
  <c r="C50" i="6" s="1"/>
  <c r="F49" i="6"/>
  <c r="F50" i="6" s="1"/>
  <c r="C45" i="5"/>
  <c r="C46" i="5" s="1"/>
  <c r="C35" i="5"/>
  <c r="C41" i="5" s="1"/>
  <c r="D17" i="5"/>
  <c r="D21" i="5" s="1"/>
  <c r="D10" i="8" l="1"/>
  <c r="D22" i="5"/>
  <c r="F29" i="6"/>
  <c r="F51" i="6" s="1"/>
  <c r="D35" i="5"/>
  <c r="H37" i="6"/>
  <c r="H45" i="6" s="1"/>
  <c r="G19" i="6"/>
  <c r="H11" i="6"/>
  <c r="G37" i="6"/>
  <c r="G45" i="6" s="1"/>
  <c r="G11" i="6"/>
  <c r="C29" i="6"/>
  <c r="C51" i="6" s="1"/>
  <c r="C47" i="5"/>
  <c r="H29" i="6" l="1"/>
  <c r="H51" i="6" s="1"/>
  <c r="D13" i="8"/>
  <c r="G29" i="6"/>
  <c r="G51" i="6" s="1"/>
  <c r="D36" i="6" l="1"/>
  <c r="D34" i="6"/>
  <c r="D16" i="6"/>
  <c r="D15" i="6"/>
  <c r="E14" i="6"/>
  <c r="D13" i="6"/>
  <c r="D17" i="6" l="1"/>
  <c r="E8" i="6"/>
  <c r="E16" i="6"/>
  <c r="E17" i="6"/>
  <c r="E15" i="6"/>
  <c r="D33" i="6"/>
  <c r="D48" i="6"/>
  <c r="D49" i="6" s="1"/>
  <c r="D50" i="6" s="1"/>
  <c r="E36" i="6"/>
  <c r="D32" i="6"/>
  <c r="D8" i="6"/>
  <c r="D18" i="6"/>
  <c r="E18" i="6"/>
  <c r="D14" i="6"/>
  <c r="D19" i="6" s="1"/>
  <c r="D25" i="8" s="1"/>
  <c r="D9" i="6"/>
  <c r="D38" i="5"/>
  <c r="D40" i="5" s="1"/>
  <c r="D28" i="5"/>
  <c r="D16" i="5"/>
  <c r="E33" i="6" l="1"/>
  <c r="G12" i="9"/>
  <c r="D44" i="5"/>
  <c r="D45" i="5" s="1"/>
  <c r="D16" i="8" s="1"/>
  <c r="D17" i="8" s="1"/>
  <c r="E19" i="5"/>
  <c r="D37" i="6"/>
  <c r="E34" i="6"/>
  <c r="D19" i="5"/>
  <c r="Q59" i="4"/>
  <c r="Q126" i="4"/>
  <c r="G13" i="9"/>
  <c r="E9" i="6"/>
  <c r="E48" i="6"/>
  <c r="E20" i="5"/>
  <c r="D33" i="8"/>
  <c r="D34" i="8" s="1"/>
  <c r="E10" i="6"/>
  <c r="E11" i="6" s="1"/>
  <c r="D10" i="6"/>
  <c r="D11" i="6" s="1"/>
  <c r="Q51" i="4"/>
  <c r="E13" i="6"/>
  <c r="E19" i="6" s="1"/>
  <c r="F25" i="8" s="1"/>
  <c r="E28" i="5"/>
  <c r="D12" i="8"/>
  <c r="D29" i="5"/>
  <c r="D41" i="5" s="1"/>
  <c r="D14" i="8"/>
  <c r="D20" i="5"/>
  <c r="E38" i="5"/>
  <c r="E40" i="5" s="1"/>
  <c r="F14" i="8" s="1"/>
  <c r="D18" i="5"/>
  <c r="E18" i="5"/>
  <c r="E34" i="5"/>
  <c r="E31" i="5"/>
  <c r="D46" i="5"/>
  <c r="I13" i="9" l="1"/>
  <c r="G22" i="9"/>
  <c r="R136" i="4"/>
  <c r="E16" i="5"/>
  <c r="E21" i="5" s="1"/>
  <c r="D47" i="5"/>
  <c r="D29" i="6"/>
  <c r="D24" i="8"/>
  <c r="D29" i="8" s="1"/>
  <c r="D35" i="8" s="1"/>
  <c r="D37" i="8" s="1"/>
  <c r="G10" i="9"/>
  <c r="F33" i="8"/>
  <c r="F34" i="8" s="1"/>
  <c r="E49" i="6"/>
  <c r="E50" i="6" s="1"/>
  <c r="Q88" i="4"/>
  <c r="R140" i="4"/>
  <c r="Q13" i="4"/>
  <c r="Q44" i="4"/>
  <c r="E32" i="6"/>
  <c r="E37" i="6" s="1"/>
  <c r="D45" i="6"/>
  <c r="D30" i="8"/>
  <c r="D32" i="8" s="1"/>
  <c r="R126" i="4"/>
  <c r="F24" i="8"/>
  <c r="F29" i="8" s="1"/>
  <c r="E29" i="6"/>
  <c r="G21" i="9"/>
  <c r="I22" i="9" s="1"/>
  <c r="D11" i="8"/>
  <c r="E35" i="5"/>
  <c r="F13" i="8" s="1"/>
  <c r="D15" i="8"/>
  <c r="E42" i="8" s="1"/>
  <c r="F12" i="8"/>
  <c r="E29" i="5"/>
  <c r="E44" i="5"/>
  <c r="F10" i="8" l="1"/>
  <c r="F11" i="8" s="1"/>
  <c r="G41" i="8" s="1"/>
  <c r="E22" i="5"/>
  <c r="E41" i="8"/>
  <c r="E43" i="8" s="1"/>
  <c r="E44" i="8" s="1"/>
  <c r="I10" i="9"/>
  <c r="I15" i="9" s="1"/>
  <c r="F15" i="8"/>
  <c r="E41" i="5"/>
  <c r="E45" i="6"/>
  <c r="E51" i="6" s="1"/>
  <c r="F30" i="8"/>
  <c r="F32" i="8" s="1"/>
  <c r="F35" i="8" s="1"/>
  <c r="F37" i="8" s="1"/>
  <c r="Q81" i="4"/>
  <c r="R138" i="4" s="1"/>
  <c r="D51" i="6"/>
  <c r="D18" i="8"/>
  <c r="R105" i="2"/>
  <c r="G18" i="9"/>
  <c r="I19" i="9" s="1"/>
  <c r="F16" i="8"/>
  <c r="F17" i="8" s="1"/>
  <c r="E45" i="5"/>
  <c r="E46" i="5" s="1"/>
  <c r="E47" i="5" l="1"/>
  <c r="F18" i="8"/>
  <c r="F20" i="8" s="1"/>
  <c r="I24" i="9"/>
  <c r="G42" i="8"/>
  <c r="G43" i="8" s="1"/>
  <c r="G44" i="8" s="1"/>
  <c r="D20" i="8"/>
  <c r="E45" i="8"/>
  <c r="G45" i="8" l="1"/>
  <c r="I62" i="9"/>
  <c r="I55" i="9"/>
  <c r="I60" i="9" l="1"/>
  <c r="J5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Raffaella Ladiana</author>
  </authors>
  <commentList>
    <comment ref="Q55" authorId="0" shapeId="0" xr:uid="{2C4E7F88-D8DA-43F8-B4A5-7E28CFF1B958}">
      <text>
        <r>
          <rPr>
            <b/>
            <sz val="9"/>
            <color indexed="81"/>
            <rFont val="Tahoma"/>
            <family val="2"/>
          </rPr>
          <t>Raffaella Ladiana:</t>
        </r>
        <r>
          <rPr>
            <sz val="9"/>
            <color indexed="81"/>
            <rFont val="Tahoma"/>
            <family val="2"/>
          </rPr>
          <t xml:space="preserve">
nel passaggio dal pon 2007/2013 al pon 2014/2020 il finanziamento si è ridotto di un centesimo </t>
        </r>
      </text>
    </comment>
  </commentList>
</comments>
</file>

<file path=xl/sharedStrings.xml><?xml version="1.0" encoding="utf-8"?>
<sst xmlns="http://schemas.openxmlformats.org/spreadsheetml/2006/main" count="3268" uniqueCount="845">
  <si>
    <t>Autorità di Sistema Portuale del Mar Ionio - Porto di Taranto</t>
  </si>
  <si>
    <t>RENDICONTO FINANZIARIO GESTIONALE</t>
  </si>
  <si>
    <t>Capitolo</t>
  </si>
  <si>
    <t>Gestione di Competenza</t>
  </si>
  <si>
    <t>Previsioni</t>
  </si>
  <si>
    <t>Somme da Accertare</t>
  </si>
  <si>
    <t xml:space="preserve">Differenze rispetto alle previsioni </t>
  </si>
  <si>
    <t>Codice</t>
  </si>
  <si>
    <t>Descrizione</t>
  </si>
  <si>
    <t>Stanziamento Iniziale</t>
  </si>
  <si>
    <t>Variazioni(+)</t>
  </si>
  <si>
    <t>Variazioni(-)</t>
  </si>
  <si>
    <t>Previsione Assestata</t>
  </si>
  <si>
    <t>Riscossioni</t>
  </si>
  <si>
    <t>Da Riscuotere</t>
  </si>
  <si>
    <t>Accertato</t>
  </si>
  <si>
    <t>Differenze Previsioni (+)</t>
  </si>
  <si>
    <t>Differenze Previsioni (-)</t>
  </si>
  <si>
    <t>E1</t>
  </si>
  <si>
    <t>TITOLO I - ENTRATE CORRENTI</t>
  </si>
  <si>
    <t>E1.1.1</t>
  </si>
  <si>
    <t>Categoria 1.1.1 - TRASFERIMENTI DA PARTE DELLO STATO</t>
  </si>
  <si>
    <t>E111/10</t>
  </si>
  <si>
    <t>Contributi dello Stato</t>
  </si>
  <si>
    <t>TOTALE CATEGORIA E1.1.1</t>
  </si>
  <si>
    <t>E1.1.2</t>
  </si>
  <si>
    <t>Categoria 1.1.2 - TRASFERIMENTI DA PARTE DELLE REGIONI</t>
  </si>
  <si>
    <t>E112/10</t>
  </si>
  <si>
    <t>Contributo della Regione Puglia</t>
  </si>
  <si>
    <t>TOTALE CATEGORIA E1.1.2</t>
  </si>
  <si>
    <t>E1.1.3</t>
  </si>
  <si>
    <t>Categoria 1.1.3 - TRASFERIMENTI DA PARTE DEI COMUNI E DELLE PROVINCE</t>
  </si>
  <si>
    <t>E113/10</t>
  </si>
  <si>
    <t>Contributi della Provincia di Taranto</t>
  </si>
  <si>
    <t>E113/20</t>
  </si>
  <si>
    <t>Contributo del Comune di Taranto</t>
  </si>
  <si>
    <t>TOTALE CATEGORIA E1.1.3</t>
  </si>
  <si>
    <t>E1.1.4</t>
  </si>
  <si>
    <t>Categoria 1.1.4 - TRASFERIMENTI DA PARTE DI ALTRI ENTI DEL SETTORE PUBBLICO</t>
  </si>
  <si>
    <t>E114/10</t>
  </si>
  <si>
    <t>Contributo Camera di Commercio di Taranto</t>
  </si>
  <si>
    <t>E114/20</t>
  </si>
  <si>
    <t>Contributo altri enti pubblici</t>
  </si>
  <si>
    <t>E114/30</t>
  </si>
  <si>
    <t>Contributi diversi</t>
  </si>
  <si>
    <t>TOTALE CATEGORIA E1.1.4</t>
  </si>
  <si>
    <t>E1.2.1</t>
  </si>
  <si>
    <t>Categoria 1.2.1 - ENTRATE TRIBUTARIE</t>
  </si>
  <si>
    <t>E121/00</t>
  </si>
  <si>
    <t>Gettito della tassa portuale</t>
  </si>
  <si>
    <t>E121/10</t>
  </si>
  <si>
    <t>Gettito delle tasse sulle merci imb.e sbar.Cap III, Titolo II L. 82/63 e art. 1 L. 355/76 ecc. (cod.901)</t>
  </si>
  <si>
    <t>E121/20</t>
  </si>
  <si>
    <t>Gettito delle tasse erariali di cui all'art.2, c.1.D.L.47/74  (cod. 921)</t>
  </si>
  <si>
    <t>E121/30</t>
  </si>
  <si>
    <t>Gettito delle tasse ancoraggio  (cod. 922)</t>
  </si>
  <si>
    <t>E121/40</t>
  </si>
  <si>
    <t>Proventi di autorizzazione per operazioni portuali di cui all' art.16 L. 84/94</t>
  </si>
  <si>
    <t>E121/50</t>
  </si>
  <si>
    <t>Proventi di autorizzazioni per attività svolte nel porto di cui all ' art.68  del Codice della Navigazione</t>
  </si>
  <si>
    <t>TOTALE CATEGORIA E1.2.1</t>
  </si>
  <si>
    <t>E1.2.2</t>
  </si>
  <si>
    <t>Categoria 1.2.2 - ENTRATE DERIVANTI DALLA VENDITA DI BENI E DALLA PRESTAZIONE DI SERVIZI</t>
  </si>
  <si>
    <t>E122/10</t>
  </si>
  <si>
    <t>Entrate derivanti dalla vendita di beni e dalla prestazione dei servizi</t>
  </si>
  <si>
    <t>TOTALE CATEGORIA E1.2.2</t>
  </si>
  <si>
    <t>E1.2.3</t>
  </si>
  <si>
    <t>Categoria 1.2.3 - REDDITI E PROVENTI PATRIMONIALI</t>
  </si>
  <si>
    <t>E123/10</t>
  </si>
  <si>
    <t>Canoni di concessione aree demaniali e delle banchine in ambito portuale</t>
  </si>
  <si>
    <t>E123/20</t>
  </si>
  <si>
    <t>Canoni di affitto beni patrimoniali dell'Autorità Portuale</t>
  </si>
  <si>
    <t>E123/30</t>
  </si>
  <si>
    <t>Interessi attivi su titoli, depositi, conti correnti</t>
  </si>
  <si>
    <t>E123/40</t>
  </si>
  <si>
    <t>Altri proventi patrimoniali</t>
  </si>
  <si>
    <t>TOTALE CATEGORIA E1.2.3</t>
  </si>
  <si>
    <t>E1.2.4</t>
  </si>
  <si>
    <t>Categoria 1.2.4 - POSTE CORRETTIVE E COMPENSATIVE DI SPESE CORRENTI</t>
  </si>
  <si>
    <t>E124/10</t>
  </si>
  <si>
    <t>Recuperi e rimborsi diversi</t>
  </si>
  <si>
    <t>E124/20</t>
  </si>
  <si>
    <t>Concorso da parte dello Stato e di altri Enti per spese di servizi di manutenzione, illuminazione, pulizia ordinaria</t>
  </si>
  <si>
    <t>TOTALE CATEGORIA E1.2.4</t>
  </si>
  <si>
    <t>E1.2.5</t>
  </si>
  <si>
    <t>Categoria 1.2.5 - ENTRATE NON CLASSIFICABILI IN ALTRE VOCI</t>
  </si>
  <si>
    <t>E125/10</t>
  </si>
  <si>
    <t>Canoni di concessione per l'affidamento dei servizi di manutenzione illuminazione, pulizia - gestione rifiuti prodotti dalle navi di cui all'art. 6 coma 1 L. 84/94</t>
  </si>
  <si>
    <t>E125/20</t>
  </si>
  <si>
    <t>Entrate varie ed eventuali</t>
  </si>
  <si>
    <t>TOTALE CATEGORIA E1.2.5</t>
  </si>
  <si>
    <t>TOTALE TITOLO E1</t>
  </si>
  <si>
    <t>E2</t>
  </si>
  <si>
    <t>TITOLO II - ENTRATE IN CONTO CAPITALE</t>
  </si>
  <si>
    <t>E2.1.1</t>
  </si>
  <si>
    <t>Categoria 2.1.1 - ALIENAZIONE IMMOBILI E DIRITTI REALI</t>
  </si>
  <si>
    <t>E211/10</t>
  </si>
  <si>
    <t>Alienazione di  Immobili</t>
  </si>
  <si>
    <t>E211/20</t>
  </si>
  <si>
    <t>Cessione di diritti reali</t>
  </si>
  <si>
    <t>TOTALE CATEGORIA E2.1.1</t>
  </si>
  <si>
    <t>E2.1.2</t>
  </si>
  <si>
    <t>Categoria 2.1.2 - ALIENAZIONE DI IMMOBILIZZAZIONI TECNICHE DIVERSE E DI BENI IMMATERIALI</t>
  </si>
  <si>
    <t>E212/10</t>
  </si>
  <si>
    <t>Cessione di immobilizzazioni tecniche</t>
  </si>
  <si>
    <t>E212/20</t>
  </si>
  <si>
    <t>Cessione di brevetti o progetti</t>
  </si>
  <si>
    <t>TOTALE CATEGORIA E2.1.2</t>
  </si>
  <si>
    <t>E2.1.3</t>
  </si>
  <si>
    <t>Categoria 2.1.3 - REALIZZO DI VALORI IMMOBILIARI</t>
  </si>
  <si>
    <t>E213/10</t>
  </si>
  <si>
    <t>Realizzo di somme investite in titoli e valori mobiliari diversi</t>
  </si>
  <si>
    <t>TOTALE CATEGORIA E2.1.3</t>
  </si>
  <si>
    <t>E2.1.4</t>
  </si>
  <si>
    <t>Categoria 2.1.4 - RISCOSSIONE DI CREDITI</t>
  </si>
  <si>
    <t>E214/10</t>
  </si>
  <si>
    <t>Riscossione di prestiti ed anticipazioni a breve termine</t>
  </si>
  <si>
    <t>E214/20</t>
  </si>
  <si>
    <t>Riscossione di altri crediti</t>
  </si>
  <si>
    <t>TOTALE CATEGORIA E2.1.4</t>
  </si>
  <si>
    <t>E2.2.1</t>
  </si>
  <si>
    <t>Categoria 2.2.1 - TRASFERIMENTI DELLO STATO</t>
  </si>
  <si>
    <t>E221/10</t>
  </si>
  <si>
    <t>Finanziamento dello stato per esecuzione di opere infrastrutturali</t>
  </si>
  <si>
    <t>E221/20</t>
  </si>
  <si>
    <t xml:space="preserve">Concorso da parte dello Stato per spese di manutenzione straordinaria delle parti comuni in ambito portuale, compresa la manutenzione dei fondali </t>
  </si>
  <si>
    <t>TOTALE CATEGORIA E2.2.1</t>
  </si>
  <si>
    <t>E2.2.2</t>
  </si>
  <si>
    <t>Categoria 2.2.2 - TRASFERIMENTI DELLA REGIONE</t>
  </si>
  <si>
    <t>E222/10</t>
  </si>
  <si>
    <t>TOTALE CATEGORIA E2.2.2</t>
  </si>
  <si>
    <t>E2.2.3</t>
  </si>
  <si>
    <t>Categoria 2.2.3 - TRASFERIMENTI DA COMUNI E PROVINCE</t>
  </si>
  <si>
    <t>E223/10</t>
  </si>
  <si>
    <t>Contributo Provincia di Taranto</t>
  </si>
  <si>
    <t>E223/20</t>
  </si>
  <si>
    <t>Contributo Comune di Taranto</t>
  </si>
  <si>
    <t>TOTALE CATEGORIA E2.2.3</t>
  </si>
  <si>
    <t>E2.2.4</t>
  </si>
  <si>
    <t>Categoria 2.2.4 - TRASFERIMENTI DA ALTRI ENTI DEL SETTORE PUBBLICO</t>
  </si>
  <si>
    <t>E224/10</t>
  </si>
  <si>
    <t>Contributi Enti</t>
  </si>
  <si>
    <t>E224/20</t>
  </si>
  <si>
    <t>TOTALE CATEGORIA E2.2.4</t>
  </si>
  <si>
    <t>E2.3.1</t>
  </si>
  <si>
    <t>Categoria 2.3.1 - ASSUNZIONE DI MUTUI</t>
  </si>
  <si>
    <t>E231/10</t>
  </si>
  <si>
    <t>Operazioni finanziarie a medio e lungo termine</t>
  </si>
  <si>
    <t>TOTALE CATEGORIA E2.3.1</t>
  </si>
  <si>
    <t>E2.3.2</t>
  </si>
  <si>
    <t>Categoria 2.3.2 - ASSUNZIONE DI ALTRI DEBITI FINANZIARI</t>
  </si>
  <si>
    <t>E232/10</t>
  </si>
  <si>
    <t>Operazioni finanziarie a breve termine</t>
  </si>
  <si>
    <t>E232/20</t>
  </si>
  <si>
    <t>Depositi di terzi a cauzione</t>
  </si>
  <si>
    <t>TOTALE CATEGORIA E2.3.2</t>
  </si>
  <si>
    <t>E2.3.3</t>
  </si>
  <si>
    <t>Categoria 2.3.3 - EMISSIONE DI OBBLIGAZIONI</t>
  </si>
  <si>
    <t>E233/10</t>
  </si>
  <si>
    <t>Emissione di obbligazioni</t>
  </si>
  <si>
    <t>TOTALE CATEGORIA E2.3.3</t>
  </si>
  <si>
    <t>TOTALE TITOLO E2</t>
  </si>
  <si>
    <t>E3</t>
  </si>
  <si>
    <t>TITOLO III - PARTITE DI GIRO</t>
  </si>
  <si>
    <t>E3.1.1</t>
  </si>
  <si>
    <t>Categoria 3.1.1 - ENTRATE AVENTI NATURA DI PARTITE DI GIRO</t>
  </si>
  <si>
    <t>E311/10</t>
  </si>
  <si>
    <t>Ritenute erariali</t>
  </si>
  <si>
    <t>E311/20</t>
  </si>
  <si>
    <t>Ritenute previdenziali ed assistenziali</t>
  </si>
  <si>
    <t>E311/30</t>
  </si>
  <si>
    <t>Ritenute diverse</t>
  </si>
  <si>
    <t>E311/40</t>
  </si>
  <si>
    <t>Recupero dal personale per anticipazioni concesse</t>
  </si>
  <si>
    <t>E311/50</t>
  </si>
  <si>
    <t>Trattenute per conto terzi</t>
  </si>
  <si>
    <t>E311/60</t>
  </si>
  <si>
    <t>Rimborso di somme pagate per conto terzi</t>
  </si>
  <si>
    <t>E311/70</t>
  </si>
  <si>
    <t>Partite in sospeso</t>
  </si>
  <si>
    <t>E311/80</t>
  </si>
  <si>
    <t>Restituzione fondo economato a fine esercizio</t>
  </si>
  <si>
    <t>E311/90</t>
  </si>
  <si>
    <t>IVA</t>
  </si>
  <si>
    <t>TOTALE CATEGORIA E3.1.1</t>
  </si>
  <si>
    <t>TOTALE TITOLO E3</t>
  </si>
  <si>
    <t>TOTALE GENERALE</t>
  </si>
  <si>
    <t>Gestione dei residui attivi</t>
  </si>
  <si>
    <t>Gestione di Cassa</t>
  </si>
  <si>
    <t>Variazioni</t>
  </si>
  <si>
    <t>Differenze rispetto alle previsioni</t>
  </si>
  <si>
    <t>Inizio Esercizio</t>
  </si>
  <si>
    <t>Totale</t>
  </si>
  <si>
    <t>Variazioni Residui(+)</t>
  </si>
  <si>
    <t>Variazioni Residui(-)</t>
  </si>
  <si>
    <t>Differenza previsioni(+)</t>
  </si>
  <si>
    <t>Differenza previsioni(-)</t>
  </si>
  <si>
    <t>Totale Residui</t>
  </si>
  <si>
    <t>Somme da Impegnare</t>
  </si>
  <si>
    <t>Pagamenti</t>
  </si>
  <si>
    <t>Da Pagare</t>
  </si>
  <si>
    <t>Impegnato</t>
  </si>
  <si>
    <t>U1</t>
  </si>
  <si>
    <t>UPB 1 - TITOLO I - USCITE CORRENTI</t>
  </si>
  <si>
    <t>U1.1.1</t>
  </si>
  <si>
    <t>Categoria 1.1.1 - USCITE PER GLI ORGANI DELL'ENTE</t>
  </si>
  <si>
    <t>U111/10</t>
  </si>
  <si>
    <t>Indennità di carica  e rimborsi spese al Presidente dell'Autorità Portuale</t>
  </si>
  <si>
    <t>U111/20</t>
  </si>
  <si>
    <t xml:space="preserve">Indennità di carica e rimborsi spese ai membri del Comitato Portuale </t>
  </si>
  <si>
    <t>U111/30</t>
  </si>
  <si>
    <t>Indennità di carica e rimborso spese agli organi di controllo</t>
  </si>
  <si>
    <t>TOTALE CATEGORIA U1.1.1</t>
  </si>
  <si>
    <t>U1.1.2</t>
  </si>
  <si>
    <t>Categoria 1.1.2 - ONERI PER IL PERSONALE IN ATTIVITÀ DI SERVIZIO</t>
  </si>
  <si>
    <t>U112/10</t>
  </si>
  <si>
    <t xml:space="preserve">Emolumenti al Segretario Generale </t>
  </si>
  <si>
    <t>U112/20</t>
  </si>
  <si>
    <t>Emolumenti fissi al personale dipendente</t>
  </si>
  <si>
    <t>U112/30</t>
  </si>
  <si>
    <t>Emolumenti variabili al personale dipendente</t>
  </si>
  <si>
    <t>U112/40</t>
  </si>
  <si>
    <t>Indennità e rimborso per missioni</t>
  </si>
  <si>
    <t>U112/50</t>
  </si>
  <si>
    <t>Altri oneri per il personale</t>
  </si>
  <si>
    <t>U112/60</t>
  </si>
  <si>
    <t>Spese per l'organizzazione di corsi per il personale e partecipaz. a spese per corsi indetti da Enti</t>
  </si>
  <si>
    <t>U112/70</t>
  </si>
  <si>
    <t>Oneri previdenziali, assistenziali e fiscali a carico dell'Autorità Portuale</t>
  </si>
  <si>
    <t>U112/80</t>
  </si>
  <si>
    <t>Oneri della contrattazione decentrata o aziendale</t>
  </si>
  <si>
    <t>U112/90</t>
  </si>
  <si>
    <t>Oneri derivanti da rinnovi contrattuali</t>
  </si>
  <si>
    <t>TOTALE CATEGORIA U1.1.2</t>
  </si>
  <si>
    <t>U1.1.3</t>
  </si>
  <si>
    <t>Categoria 1.1.3 - USCITE PER L'ACQUISTO DI BENI DI CONSUMO E DI SERVIZIO</t>
  </si>
  <si>
    <t>U113/10</t>
  </si>
  <si>
    <t xml:space="preserve">Spese connesse con l' utilizzo dei mezzi di trasporto terrestri </t>
  </si>
  <si>
    <t>U113/20</t>
  </si>
  <si>
    <t xml:space="preserve">Spese connesse con l'utilizzo di mezzi nautici </t>
  </si>
  <si>
    <t>U113/30</t>
  </si>
  <si>
    <t>Lavori di manutenzione, riparazione, adattamento di locali a disposizione dell'Autorità Portuale . spese per pulizia e vigilanza ufficio, spese di riscaldamento</t>
  </si>
  <si>
    <t>U113/40</t>
  </si>
  <si>
    <t>Locazioni passive e leasing</t>
  </si>
  <si>
    <t>U113/50</t>
  </si>
  <si>
    <t>Spese per consulenze, studi ed altre analoghe prestazioni professionali</t>
  </si>
  <si>
    <t>U113/60</t>
  </si>
  <si>
    <t>Utenze varie</t>
  </si>
  <si>
    <t>U113/70</t>
  </si>
  <si>
    <t>Materiale di economato e facile consumo</t>
  </si>
  <si>
    <t>U113/80</t>
  </si>
  <si>
    <t>Abbonamento periodici e riviste</t>
  </si>
  <si>
    <t>U113/90</t>
  </si>
  <si>
    <t>Spese postali</t>
  </si>
  <si>
    <t>U113/100</t>
  </si>
  <si>
    <t>Spese diverse connesse al funzionamento degli uffici</t>
  </si>
  <si>
    <t>U113/110</t>
  </si>
  <si>
    <t>Spese per atti e contratti vari</t>
  </si>
  <si>
    <t>U113/120</t>
  </si>
  <si>
    <t>Spese per trasporto materiali, mobili ed attrezzature speciali</t>
  </si>
  <si>
    <t>U113/130</t>
  </si>
  <si>
    <t>Spese per effetti di corredo per il personale dipendente</t>
  </si>
  <si>
    <t>U113/140</t>
  </si>
  <si>
    <t>Premi di assicurazione</t>
  </si>
  <si>
    <t>U113/150</t>
  </si>
  <si>
    <t xml:space="preserve">Spese di pubblicità </t>
  </si>
  <si>
    <t>U113/160</t>
  </si>
  <si>
    <t>Spese di rappresentanza</t>
  </si>
  <si>
    <t>U113/170</t>
  </si>
  <si>
    <t>Spese legali, giudiziarie e varie</t>
  </si>
  <si>
    <t>U113/180</t>
  </si>
  <si>
    <t>Manutenzione ordinaria immobile sede ex art. 1, comma 618, L.F. 2008</t>
  </si>
  <si>
    <t>TOTALE CATEGORIA U1.1.3</t>
  </si>
  <si>
    <t>U1.2.1</t>
  </si>
  <si>
    <t>Categoria 1.2.1 - USCITE PER PRESTAZIONI ISTITUZIONALI</t>
  </si>
  <si>
    <t>U121/10</t>
  </si>
  <si>
    <t>Prestazioni di terzi per la gestione dei servizi portuali - spese per utenze portuali varie</t>
  </si>
  <si>
    <t>U121/20</t>
  </si>
  <si>
    <t>Prestazioni di terzi per manutenzioni, riparazioni, pulizia, assicurazioni e adattamenti diversi delle parti comuni in ambito portuale</t>
  </si>
  <si>
    <t>U121/30</t>
  </si>
  <si>
    <t>Spese per provviste e lavori indispensabili per la rimozione di ostacoli di qualunque genere alla navigazione in ambito portuale</t>
  </si>
  <si>
    <t>U121/40</t>
  </si>
  <si>
    <t>Spese promozionali e di propaganda</t>
  </si>
  <si>
    <t>U121/50</t>
  </si>
  <si>
    <t>Applicazione comma 15 bis dell'art. 17 della L. 84/94</t>
  </si>
  <si>
    <t>TOTALE CATEGORIA U1.2.1</t>
  </si>
  <si>
    <t>U1.2.2</t>
  </si>
  <si>
    <t>Categoria 1.2.2 - TRASFERIMENTI PASSIVI</t>
  </si>
  <si>
    <t>U122/10</t>
  </si>
  <si>
    <t>Contributi aventi attinenza allo sviluppo dell'attività portuale</t>
  </si>
  <si>
    <t>U122/20</t>
  </si>
  <si>
    <t>Contributi allo sviluppo delle realizzazioni di autostrade del mare,di trasporto marittimo a corto raggio e di crociere</t>
  </si>
  <si>
    <t>U122/30</t>
  </si>
  <si>
    <t>Partecipazione a progetti europei, nazionali e regionali</t>
  </si>
  <si>
    <t>TOTALE CATEGORIA U1.2.2</t>
  </si>
  <si>
    <t>U1.2.3</t>
  </si>
  <si>
    <t>Categoria 1.2.3 - ONERI FINANZIARI</t>
  </si>
  <si>
    <t>U123/10</t>
  </si>
  <si>
    <t>Interessi passivi spese e commissioni bancarie</t>
  </si>
  <si>
    <t>TOTALE CATEGORIA U1.2.3</t>
  </si>
  <si>
    <t>U1.2.4</t>
  </si>
  <si>
    <t>Categoria 1.2.4 - ONERI TRIBUTARI</t>
  </si>
  <si>
    <t>U124/10</t>
  </si>
  <si>
    <t>Imposte, tasse e tributi vari</t>
  </si>
  <si>
    <t>TOTALE CATEGORIA U1.2.4</t>
  </si>
  <si>
    <t>U1.2.5</t>
  </si>
  <si>
    <t>Categoria 1.2.5 - POSTE CORRETTIVE E COMPENSATIVE DI ENTRATE CORRENTI</t>
  </si>
  <si>
    <t>U125/10</t>
  </si>
  <si>
    <t>Restituzioni e rimborsi diversi</t>
  </si>
  <si>
    <t>TOTALE CATEGORIA U1.2.5</t>
  </si>
  <si>
    <t>U1.2.6</t>
  </si>
  <si>
    <t>Categoria 1.2.6 - USCITE NON CLASSIFICABILI IN ALTRE VOCI</t>
  </si>
  <si>
    <t>U126/10</t>
  </si>
  <si>
    <t>Spese per liti, arbitraggi, risarcimenti ed accessori</t>
  </si>
  <si>
    <t>U126/20</t>
  </si>
  <si>
    <t>Fondo di riserva</t>
  </si>
  <si>
    <t>U126/30</t>
  </si>
  <si>
    <t>Oneri vari straordinari</t>
  </si>
  <si>
    <t>U126/40</t>
  </si>
  <si>
    <t>Spese per realizzo delle entrate</t>
  </si>
  <si>
    <t>TOTALE CATEGORIA U1.2.6</t>
  </si>
  <si>
    <t>U1.3.1</t>
  </si>
  <si>
    <t>Categoria 1.3.1 - ONERI PER  IL PERSONALE IN QUIESCENZA</t>
  </si>
  <si>
    <t>U131/10</t>
  </si>
  <si>
    <t>Pensioni ed altri oneri similari a carico dell'Autorità Portuale</t>
  </si>
  <si>
    <t>TOTALE CATEGORIA U1.3.1</t>
  </si>
  <si>
    <t>U1.3.2</t>
  </si>
  <si>
    <t xml:space="preserve">Categoria 1.3.2 - ACCANTONAMENTO AL TRATTAMENTO DI FINE RAPPPORTO (CONTRIBUTO A.P.) </t>
  </si>
  <si>
    <t>U132/10</t>
  </si>
  <si>
    <t>Accantonamento al trattamento di fine rapporto (contributo A.P.)</t>
  </si>
  <si>
    <t>TOTALE CATEGORIA U1.3.2</t>
  </si>
  <si>
    <t>U1.4.1</t>
  </si>
  <si>
    <t>Categoria 1.4.1 - FONDO RISCHI E ONERI</t>
  </si>
  <si>
    <t>U141/10</t>
  </si>
  <si>
    <t>Fondo rischi e oneri</t>
  </si>
  <si>
    <t>TOTALE CATEGORIA U1.4.1</t>
  </si>
  <si>
    <t>TOTALE TITOLO U1</t>
  </si>
  <si>
    <t>U2</t>
  </si>
  <si>
    <t>UPB 2 - TITOLO II - USCITE IN CONTO CAPITALE</t>
  </si>
  <si>
    <t>U2.1.1</t>
  </si>
  <si>
    <t>Categoria 2.1.1 - ACQUISIZIONE DI BENI DI USO DUREVOLE ED OPERE IMMOBILIARI E INVESTIMENTI</t>
  </si>
  <si>
    <t>U211/10</t>
  </si>
  <si>
    <t>Acquisizione, costruzione, trasformazione di opere portuali ed immobiliari - approfondimento fondali</t>
  </si>
  <si>
    <t>U211/20</t>
  </si>
  <si>
    <t>Prestazione di terzi per manutenzioni straordinarie delle parti comuni in ambito portuale, compresa la manutenzione dei fondali</t>
  </si>
  <si>
    <t>U211/30</t>
  </si>
  <si>
    <t>Azioni per lo sviluppo strategico del porto - studi, progettazioni, investimenti, ricerche logistica</t>
  </si>
  <si>
    <t>U211/40</t>
  </si>
  <si>
    <t>Manutenzione straordinaria immbile sede ex art. 1, comma 618, L.F. 2008</t>
  </si>
  <si>
    <t>TOTALE CATEGORIA U2.1.1</t>
  </si>
  <si>
    <t>U2.1.2</t>
  </si>
  <si>
    <t>Categoria 2.1.2 - ACQUISIZIONE DI IMMOBILIZZAZIONI TECNICHE</t>
  </si>
  <si>
    <t>U212/10</t>
  </si>
  <si>
    <t xml:space="preserve">Acquisto di attrezzature e macchinari </t>
  </si>
  <si>
    <t>U212/20</t>
  </si>
  <si>
    <t>Acquisto autoveicoli e motoveicoli e parti di ricambio degli stessi</t>
  </si>
  <si>
    <t>U212/30</t>
  </si>
  <si>
    <t>Acquisto mezzi nautici e parti di ricambio degli stessi</t>
  </si>
  <si>
    <t>U212/40</t>
  </si>
  <si>
    <t>Acquisto di beni immateriali (progetti, brevetti, ecc)</t>
  </si>
  <si>
    <t>U212/50</t>
  </si>
  <si>
    <t>Acquisto di mobili e macchine di ufficio</t>
  </si>
  <si>
    <t>TOTALE CATEGORIA U2.1.2</t>
  </si>
  <si>
    <t>U2.1.3</t>
  </si>
  <si>
    <t>U213/10</t>
  </si>
  <si>
    <t>Sottoscrizioni ed acquisti di partecipazioni azionarie</t>
  </si>
  <si>
    <t>U213/20</t>
  </si>
  <si>
    <t>Partecipazione a progetti Europei, Nazionali e Regionali</t>
  </si>
  <si>
    <t>TOTALE CATEGORIA U2.1.3</t>
  </si>
  <si>
    <t>U2.1.4</t>
  </si>
  <si>
    <t>Categoria 2.1.4 - CONCESSIONI DI CREDITI ED ANTICIPAZIONI</t>
  </si>
  <si>
    <t>U214/10</t>
  </si>
  <si>
    <t>Concessioni di prestiti ed anticipazioni a breve termine</t>
  </si>
  <si>
    <t>U214/20</t>
  </si>
  <si>
    <t>Deposito a cauzione presso terzi</t>
  </si>
  <si>
    <t>U214/30</t>
  </si>
  <si>
    <t>Concessione di crediti diversi</t>
  </si>
  <si>
    <t>TOTALE CATEGORIA U2.1.4</t>
  </si>
  <si>
    <t>U2.1.5</t>
  </si>
  <si>
    <t>Categoria 2.1.5 - INDENNITÀ DI ANZIANITÀ E SIMILARI DOVUTE AL PERSONALE CESSATO DAL SERVIZIO.</t>
  </si>
  <si>
    <t>U215/10</t>
  </si>
  <si>
    <t>Versamento in conto depositi bancari vincolati per il fondo indennità di licenziamento</t>
  </si>
  <si>
    <t>U215/20</t>
  </si>
  <si>
    <t>Versamento a compagnie di assicurazione per polizze contratte per indenn.licenziam.del pers.dipendente</t>
  </si>
  <si>
    <t>U215/30</t>
  </si>
  <si>
    <t xml:space="preserve">Indennità di anzianità </t>
  </si>
  <si>
    <t>TOTALE CATEGORIA U2.1.5</t>
  </si>
  <si>
    <t>U2.2.1</t>
  </si>
  <si>
    <t>Categoria 2.2.1 - RIMBORSI DI MUTUI</t>
  </si>
  <si>
    <t>U221/10</t>
  </si>
  <si>
    <t>Rimborso di finanziamenti a breve termine</t>
  </si>
  <si>
    <t>U221/20</t>
  </si>
  <si>
    <t>Rimborso di finanziamenti a medio e lungo termine</t>
  </si>
  <si>
    <t>TOTALE CATEGORIA U2.2.1</t>
  </si>
  <si>
    <t>U2.2.2</t>
  </si>
  <si>
    <t>Categoria 2.2.2 - RIMBORSO DI ANTICIPAZIONI PASSIVE</t>
  </si>
  <si>
    <t>U222/10</t>
  </si>
  <si>
    <t>Rimborso di anticipazioni passive</t>
  </si>
  <si>
    <t>TOTALE CATEGORIA U2.2.2</t>
  </si>
  <si>
    <t>U2.2.3</t>
  </si>
  <si>
    <t>Categoria 2.2.3 - RIMBORSI DI  OBBLIGAZIONI</t>
  </si>
  <si>
    <t>U223/10</t>
  </si>
  <si>
    <t>Rimborso di obbligazioni</t>
  </si>
  <si>
    <t>TOTALE CATEGORIA U2.2.3</t>
  </si>
  <si>
    <t>U2.2.4</t>
  </si>
  <si>
    <t>Categoria 2.2.4 - RESTITUZIONI ALLE GESTIONI  AUTONOME DI ANTICIPAZIONI</t>
  </si>
  <si>
    <t>U224/10</t>
  </si>
  <si>
    <t>Restituzione alle gestioni autonome di anticipazioni</t>
  </si>
  <si>
    <t>TOTALE CATEGORIA U2.2.4</t>
  </si>
  <si>
    <t>U2.2.5</t>
  </si>
  <si>
    <t>Categoria 2.2.5 - ESTINZIONI DEBITI DIVERSI</t>
  </si>
  <si>
    <t>U225/10</t>
  </si>
  <si>
    <t>Restituzione depositi di terzi e cauzione</t>
  </si>
  <si>
    <t>TOTALE CATEGORIA U2.2.5</t>
  </si>
  <si>
    <t>TOTALE TITOLO U2</t>
  </si>
  <si>
    <t>U3</t>
  </si>
  <si>
    <t>UPB 3 - TITOLO III - PARTITE DI GIRO</t>
  </si>
  <si>
    <t>U3.1.1</t>
  </si>
  <si>
    <t>Categoria 3.1.1 - USCITE AVENTI NATURA DI PARTITE DI GIRO</t>
  </si>
  <si>
    <t>U311/10</t>
  </si>
  <si>
    <t>U311/20</t>
  </si>
  <si>
    <t>U311/30</t>
  </si>
  <si>
    <t>U311/40</t>
  </si>
  <si>
    <t>Anticipazioni dell'Autorità Portuale al personale</t>
  </si>
  <si>
    <t>U311/50</t>
  </si>
  <si>
    <t>Versamento trattenute a favore di terzi</t>
  </si>
  <si>
    <t>U311/60</t>
  </si>
  <si>
    <t>Somme pagate per conto terzi</t>
  </si>
  <si>
    <t>U311/70</t>
  </si>
  <si>
    <t>U311/80</t>
  </si>
  <si>
    <t>Anticipazione fondo economato</t>
  </si>
  <si>
    <t>U311/90</t>
  </si>
  <si>
    <t>TOTALE CATEGORIA U3.1.1</t>
  </si>
  <si>
    <t>TOTALE TITOLO U3</t>
  </si>
  <si>
    <t>Gestione dei residui passivi</t>
  </si>
  <si>
    <t>pagamenti</t>
  </si>
  <si>
    <t>incassi</t>
  </si>
  <si>
    <t>RENDICONTO FINANZIARIO DECISIONALE</t>
  </si>
  <si>
    <t>03/04/2017</t>
  </si>
  <si>
    <t>ENTRATE</t>
  </si>
  <si>
    <t>Residui</t>
  </si>
  <si>
    <t>Competenza (Accertamenti)</t>
  </si>
  <si>
    <t>Cassa (Riscossioni)</t>
  </si>
  <si>
    <r>
      <t xml:space="preserve">  </t>
    </r>
    <r>
      <rPr>
        <b/>
        <sz val="5.95"/>
        <color indexed="8"/>
        <rFont val="Arial"/>
        <family val="2"/>
      </rPr>
      <t>E1.1</t>
    </r>
  </si>
  <si>
    <t>UPB 1.1 - ENTRATE DERIVANTI DA TRASFERIMENTI CORRENTI</t>
  </si>
  <si>
    <r>
      <t xml:space="preserve">    </t>
    </r>
    <r>
      <rPr>
        <sz val="5.95"/>
        <color indexed="8"/>
        <rFont val="Arial"/>
        <family val="2"/>
      </rPr>
      <t>E1.1.1</t>
    </r>
  </si>
  <si>
    <r>
      <t xml:space="preserve">    </t>
    </r>
    <r>
      <rPr>
        <sz val="5.95"/>
        <color indexed="8"/>
        <rFont val="Arial"/>
        <family val="2"/>
      </rPr>
      <t>E1.1.2</t>
    </r>
  </si>
  <si>
    <r>
      <t xml:space="preserve">    </t>
    </r>
    <r>
      <rPr>
        <sz val="5.95"/>
        <color indexed="8"/>
        <rFont val="Arial"/>
        <family val="2"/>
      </rPr>
      <t>E1.1.3</t>
    </r>
  </si>
  <si>
    <r>
      <t xml:space="preserve">    </t>
    </r>
    <r>
      <rPr>
        <sz val="5.95"/>
        <color indexed="8"/>
        <rFont val="Arial"/>
        <family val="2"/>
      </rPr>
      <t>E1.1.4</t>
    </r>
  </si>
  <si>
    <t>TOTALE UPB 1.1 - ENTRATE DERIVANTI DA TRASFERIMENTI CORRENTI</t>
  </si>
  <si>
    <r>
      <t xml:space="preserve">  </t>
    </r>
    <r>
      <rPr>
        <b/>
        <sz val="5.95"/>
        <color indexed="8"/>
        <rFont val="Arial"/>
        <family val="2"/>
      </rPr>
      <t>E1.2</t>
    </r>
  </si>
  <si>
    <t>UPB 1.2 - ENTRATE DIVERSE</t>
  </si>
  <si>
    <r>
      <t xml:space="preserve">    </t>
    </r>
    <r>
      <rPr>
        <sz val="5.95"/>
        <color indexed="8"/>
        <rFont val="Arial"/>
        <family val="2"/>
      </rPr>
      <t>E1.2.1</t>
    </r>
  </si>
  <si>
    <r>
      <t xml:space="preserve">    </t>
    </r>
    <r>
      <rPr>
        <sz val="5.95"/>
        <color indexed="8"/>
        <rFont val="Arial"/>
        <family val="2"/>
      </rPr>
      <t>E1.2.2</t>
    </r>
  </si>
  <si>
    <r>
      <t xml:space="preserve">    </t>
    </r>
    <r>
      <rPr>
        <sz val="5.95"/>
        <color indexed="8"/>
        <rFont val="Arial"/>
        <family val="2"/>
      </rPr>
      <t>E1.2.3</t>
    </r>
  </si>
  <si>
    <r>
      <t xml:space="preserve">    </t>
    </r>
    <r>
      <rPr>
        <sz val="5.95"/>
        <color indexed="8"/>
        <rFont val="Arial"/>
        <family val="2"/>
      </rPr>
      <t>E1.2.4</t>
    </r>
  </si>
  <si>
    <r>
      <t xml:space="preserve">    </t>
    </r>
    <r>
      <rPr>
        <sz val="5.95"/>
        <color indexed="8"/>
        <rFont val="Arial"/>
        <family val="2"/>
      </rPr>
      <t>E1.2.5</t>
    </r>
  </si>
  <si>
    <t>TOTALE UPB 1.2 - ENTRATE DIVERSE</t>
  </si>
  <si>
    <t>TOTALE TITOLO I - ENTRATE CORRENTI</t>
  </si>
  <si>
    <r>
      <t xml:space="preserve">  </t>
    </r>
    <r>
      <rPr>
        <b/>
        <sz val="5.95"/>
        <color indexed="8"/>
        <rFont val="Arial"/>
        <family val="2"/>
      </rPr>
      <t>E2.1</t>
    </r>
  </si>
  <si>
    <t>UPB 2.1 - ENTRATE PER ALIENAZIONE DI BENI PATRIMONIALI E RISCOSSIONE DI CREDITI</t>
  </si>
  <si>
    <r>
      <t xml:space="preserve">    </t>
    </r>
    <r>
      <rPr>
        <sz val="5.95"/>
        <color indexed="8"/>
        <rFont val="Arial"/>
        <family val="2"/>
      </rPr>
      <t>E2.1.1</t>
    </r>
  </si>
  <si>
    <r>
      <t xml:space="preserve">    </t>
    </r>
    <r>
      <rPr>
        <sz val="5.95"/>
        <color indexed="8"/>
        <rFont val="Arial"/>
        <family val="2"/>
      </rPr>
      <t>E2.1.2</t>
    </r>
  </si>
  <si>
    <r>
      <t xml:space="preserve">    </t>
    </r>
    <r>
      <rPr>
        <sz val="5.95"/>
        <color indexed="8"/>
        <rFont val="Arial"/>
        <family val="2"/>
      </rPr>
      <t>E2.1.3</t>
    </r>
  </si>
  <si>
    <r>
      <t xml:space="preserve">    </t>
    </r>
    <r>
      <rPr>
        <sz val="5.95"/>
        <color indexed="8"/>
        <rFont val="Arial"/>
        <family val="2"/>
      </rPr>
      <t>E2.1.4</t>
    </r>
  </si>
  <si>
    <t>TOTALE UPB 2.1 - ENTRATE PER ALIENAZIONE DI BENI PATRIMONIALI E RISCOSSIONE DI CREDITI</t>
  </si>
  <si>
    <r>
      <t xml:space="preserve">  </t>
    </r>
    <r>
      <rPr>
        <b/>
        <sz val="5.95"/>
        <color indexed="8"/>
        <rFont val="Arial"/>
        <family val="2"/>
      </rPr>
      <t>E2.2</t>
    </r>
  </si>
  <si>
    <t>UPB 2.2 - ENTRATE DERIVANTI DA TRASFERIMENTI IN CONTO CAPITALE</t>
  </si>
  <si>
    <r>
      <t xml:space="preserve">    </t>
    </r>
    <r>
      <rPr>
        <sz val="5.95"/>
        <color indexed="8"/>
        <rFont val="Arial"/>
        <family val="2"/>
      </rPr>
      <t>E2.2.1</t>
    </r>
  </si>
  <si>
    <r>
      <t xml:space="preserve">    </t>
    </r>
    <r>
      <rPr>
        <sz val="5.95"/>
        <color indexed="8"/>
        <rFont val="Arial"/>
        <family val="2"/>
      </rPr>
      <t>E2.2.2</t>
    </r>
  </si>
  <si>
    <r>
      <t xml:space="preserve">    </t>
    </r>
    <r>
      <rPr>
        <sz val="5.95"/>
        <color indexed="8"/>
        <rFont val="Arial"/>
        <family val="2"/>
      </rPr>
      <t>E2.2.3</t>
    </r>
  </si>
  <si>
    <r>
      <t xml:space="preserve">    </t>
    </r>
    <r>
      <rPr>
        <sz val="5.95"/>
        <color indexed="8"/>
        <rFont val="Arial"/>
        <family val="2"/>
      </rPr>
      <t>E2.2.4</t>
    </r>
  </si>
  <si>
    <t>TOTALE UPB 2.2 - ENTRATE DERIVANTI DA TRASFERIMENTI IN CONTO CAPITALE</t>
  </si>
  <si>
    <r>
      <t xml:space="preserve">  </t>
    </r>
    <r>
      <rPr>
        <b/>
        <sz val="5.95"/>
        <color indexed="8"/>
        <rFont val="Arial"/>
        <family val="2"/>
      </rPr>
      <t>E2.3</t>
    </r>
  </si>
  <si>
    <t>UPB 2.3 - ACCENSIONE DI PRESTITI</t>
  </si>
  <si>
    <r>
      <t xml:space="preserve">    </t>
    </r>
    <r>
      <rPr>
        <sz val="5.95"/>
        <color indexed="8"/>
        <rFont val="Arial"/>
        <family val="2"/>
      </rPr>
      <t>E2.3.1</t>
    </r>
  </si>
  <si>
    <r>
      <t xml:space="preserve">    </t>
    </r>
    <r>
      <rPr>
        <sz val="5.95"/>
        <color indexed="8"/>
        <rFont val="Arial"/>
        <family val="2"/>
      </rPr>
      <t>E2.3.2</t>
    </r>
  </si>
  <si>
    <r>
      <t xml:space="preserve">    </t>
    </r>
    <r>
      <rPr>
        <sz val="5.95"/>
        <color indexed="8"/>
        <rFont val="Arial"/>
        <family val="2"/>
      </rPr>
      <t>E2.3.3</t>
    </r>
  </si>
  <si>
    <t>TOTALE UPB 2.3 - ACCENSIONE DI PRESTITI</t>
  </si>
  <si>
    <t>TOTALE TITOLO II - ENTRATE IN CONTO CAPITALE</t>
  </si>
  <si>
    <r>
      <t xml:space="preserve">  </t>
    </r>
    <r>
      <rPr>
        <b/>
        <sz val="5.95"/>
        <color indexed="8"/>
        <rFont val="Arial"/>
        <family val="2"/>
      </rPr>
      <t>E3.1</t>
    </r>
  </si>
  <si>
    <t>UPB 3.1 - ENTRATE AVENTI NATURA DI PARTITA DI GIRO</t>
  </si>
  <si>
    <r>
      <t xml:space="preserve">    </t>
    </r>
    <r>
      <rPr>
        <sz val="5.95"/>
        <color indexed="8"/>
        <rFont val="Arial"/>
        <family val="2"/>
      </rPr>
      <t>E3.1.1</t>
    </r>
  </si>
  <si>
    <t>TOTALE UPB 3.1 - ENTRATE AVENTI NATURA DI PARTITA DI GIRO</t>
  </si>
  <si>
    <t>TOTALE TITOLO III - PARTITE DI GIRO</t>
  </si>
  <si>
    <t>TOTALE GENERALE ENTRATE</t>
  </si>
  <si>
    <t>TOTALE GENERALE USCITE</t>
  </si>
  <si>
    <t>TOTALE UPB 3 - TITOLO III - PARTITE DI GIRO</t>
  </si>
  <si>
    <t>TOTALE 3.1 - USCITE AVENTI NATURA DI PARTITA DI GIRO</t>
  </si>
  <si>
    <r>
      <t xml:space="preserve">    </t>
    </r>
    <r>
      <rPr>
        <sz val="5.95"/>
        <color indexed="8"/>
        <rFont val="Arial"/>
        <family val="2"/>
      </rPr>
      <t>U3.1.1</t>
    </r>
  </si>
  <si>
    <t>3.1 - USCITE AVENTI NATURA DI PARTITA DI GIRO</t>
  </si>
  <si>
    <r>
      <t xml:space="preserve">  </t>
    </r>
    <r>
      <rPr>
        <b/>
        <sz val="5.95"/>
        <color indexed="8"/>
        <rFont val="Arial"/>
        <family val="2"/>
      </rPr>
      <t>U3.1</t>
    </r>
  </si>
  <si>
    <t>TOTALE UPB 2 - TITOLO II - USCITE IN CONTO CAPITALE</t>
  </si>
  <si>
    <t>TOTALE 2.2 - ONERI COMUNI</t>
  </si>
  <si>
    <r>
      <t xml:space="preserve">    </t>
    </r>
    <r>
      <rPr>
        <sz val="5.95"/>
        <color indexed="8"/>
        <rFont val="Arial"/>
        <family val="2"/>
      </rPr>
      <t>U2.2.5</t>
    </r>
  </si>
  <si>
    <r>
      <t xml:space="preserve">    </t>
    </r>
    <r>
      <rPr>
        <sz val="5.95"/>
        <color indexed="8"/>
        <rFont val="Arial"/>
        <family val="2"/>
      </rPr>
      <t>U2.2.4</t>
    </r>
  </si>
  <si>
    <r>
      <t xml:space="preserve">    </t>
    </r>
    <r>
      <rPr>
        <sz val="5.95"/>
        <color indexed="8"/>
        <rFont val="Arial"/>
        <family val="2"/>
      </rPr>
      <t>U2.2.3</t>
    </r>
  </si>
  <si>
    <r>
      <t xml:space="preserve">    </t>
    </r>
    <r>
      <rPr>
        <sz val="5.95"/>
        <color indexed="8"/>
        <rFont val="Arial"/>
        <family val="2"/>
      </rPr>
      <t>U2.2.2</t>
    </r>
  </si>
  <si>
    <r>
      <t xml:space="preserve">    </t>
    </r>
    <r>
      <rPr>
        <sz val="5.95"/>
        <color indexed="8"/>
        <rFont val="Arial"/>
        <family val="2"/>
      </rPr>
      <t>U2.2.1</t>
    </r>
  </si>
  <si>
    <t>2.2 - ONERI COMUNI</t>
  </si>
  <si>
    <r>
      <t xml:space="preserve">  </t>
    </r>
    <r>
      <rPr>
        <b/>
        <sz val="5.95"/>
        <color indexed="8"/>
        <rFont val="Arial"/>
        <family val="2"/>
      </rPr>
      <t>U2.2</t>
    </r>
  </si>
  <si>
    <t>TOTALE 2.1 - INVESTIMENTI</t>
  </si>
  <si>
    <r>
      <t xml:space="preserve">    </t>
    </r>
    <r>
      <rPr>
        <sz val="5.95"/>
        <color indexed="8"/>
        <rFont val="Arial"/>
        <family val="2"/>
      </rPr>
      <t>U2.1.5</t>
    </r>
  </si>
  <si>
    <r>
      <t xml:space="preserve">    </t>
    </r>
    <r>
      <rPr>
        <sz val="5.95"/>
        <color indexed="8"/>
        <rFont val="Arial"/>
        <family val="2"/>
      </rPr>
      <t>U2.1.4</t>
    </r>
  </si>
  <si>
    <t>Categoria 2.1.3 PARTECIPAZIONI A PROGETTI EUROPEI, NAZIONALI E REGIONALI ED ACQUISTO DI VALORI MOBILIARI</t>
  </si>
  <si>
    <r>
      <t xml:space="preserve">    </t>
    </r>
    <r>
      <rPr>
        <sz val="5.95"/>
        <color indexed="8"/>
        <rFont val="Arial"/>
        <family val="2"/>
      </rPr>
      <t>U2.1.3</t>
    </r>
  </si>
  <si>
    <r>
      <t xml:space="preserve">    </t>
    </r>
    <r>
      <rPr>
        <sz val="5.95"/>
        <color indexed="8"/>
        <rFont val="Arial"/>
        <family val="2"/>
      </rPr>
      <t>U2.1.2</t>
    </r>
  </si>
  <si>
    <r>
      <t xml:space="preserve">    </t>
    </r>
    <r>
      <rPr>
        <sz val="5.95"/>
        <color indexed="8"/>
        <rFont val="Arial"/>
        <family val="2"/>
      </rPr>
      <t>U2.1.1</t>
    </r>
  </si>
  <si>
    <t>2.1 - INVESTIMENTI</t>
  </si>
  <si>
    <r>
      <t xml:space="preserve">  </t>
    </r>
    <r>
      <rPr>
        <b/>
        <sz val="5.95"/>
        <color indexed="8"/>
        <rFont val="Arial"/>
        <family val="2"/>
      </rPr>
      <t>U2.1</t>
    </r>
  </si>
  <si>
    <t>TOTALE UPB 1 - TITOLO I - USCITE CORRENTI</t>
  </si>
  <si>
    <t>TOTALE 1.5 - ACCANTONAMENTI A FONDI RISCHI ED ONERI</t>
  </si>
  <si>
    <t>1.5 - ACCANTONAMENTI A FONDI RISCHI ED ONERI</t>
  </si>
  <si>
    <r>
      <t xml:space="preserve">  </t>
    </r>
    <r>
      <rPr>
        <b/>
        <sz val="5.95"/>
        <color indexed="8"/>
        <rFont val="Arial"/>
        <family val="2"/>
      </rPr>
      <t>U1.5</t>
    </r>
  </si>
  <si>
    <t>TOTALE 1.4 - ACCANTONAMENTI A FONDI RISCHI ED ONERI</t>
  </si>
  <si>
    <r>
      <t xml:space="preserve">    </t>
    </r>
    <r>
      <rPr>
        <sz val="5.95"/>
        <color indexed="8"/>
        <rFont val="Arial"/>
        <family val="2"/>
      </rPr>
      <t>U1.4.1</t>
    </r>
  </si>
  <si>
    <t>1.4 - ACCANTONAMENTI A FONDI RISCHI ED ONERI</t>
  </si>
  <si>
    <r>
      <t xml:space="preserve">  </t>
    </r>
    <r>
      <rPr>
        <b/>
        <sz val="5.95"/>
        <color indexed="8"/>
        <rFont val="Arial"/>
        <family val="2"/>
      </rPr>
      <t>U1.4</t>
    </r>
  </si>
  <si>
    <t>TOTALE 1.3 - TRATTAMENTI DI QUIESCENZA, INTEGRATIVI E SOSTITUTIVI</t>
  </si>
  <si>
    <r>
      <t xml:space="preserve">    </t>
    </r>
    <r>
      <rPr>
        <sz val="5.95"/>
        <color indexed="8"/>
        <rFont val="Arial"/>
        <family val="2"/>
      </rPr>
      <t>U1.3.2</t>
    </r>
  </si>
  <si>
    <r>
      <t xml:space="preserve">    </t>
    </r>
    <r>
      <rPr>
        <sz val="5.95"/>
        <color indexed="8"/>
        <rFont val="Arial"/>
        <family val="2"/>
      </rPr>
      <t>U1.3.1</t>
    </r>
  </si>
  <si>
    <t>1.3 - TRATTAMENTI DI QUIESCENZA, INTEGRATIVI E SOSTITUTIVI</t>
  </si>
  <si>
    <r>
      <t xml:space="preserve">  </t>
    </r>
    <r>
      <rPr>
        <b/>
        <sz val="5.95"/>
        <color indexed="8"/>
        <rFont val="Arial"/>
        <family val="2"/>
      </rPr>
      <t>U1.3</t>
    </r>
  </si>
  <si>
    <t>TOTALE 1.2 - INTERVENTI DIVERSI</t>
  </si>
  <si>
    <r>
      <t xml:space="preserve">    </t>
    </r>
    <r>
      <rPr>
        <sz val="5.95"/>
        <color indexed="8"/>
        <rFont val="Arial"/>
        <family val="2"/>
      </rPr>
      <t>U1.2.6</t>
    </r>
  </si>
  <si>
    <r>
      <t xml:space="preserve">    </t>
    </r>
    <r>
      <rPr>
        <sz val="5.95"/>
        <color indexed="8"/>
        <rFont val="Arial"/>
        <family val="2"/>
      </rPr>
      <t>U1.2.5</t>
    </r>
  </si>
  <si>
    <r>
      <t xml:space="preserve">    </t>
    </r>
    <r>
      <rPr>
        <sz val="5.95"/>
        <color indexed="8"/>
        <rFont val="Arial"/>
        <family val="2"/>
      </rPr>
      <t>U1.2.4</t>
    </r>
  </si>
  <si>
    <r>
      <t xml:space="preserve">    </t>
    </r>
    <r>
      <rPr>
        <sz val="5.95"/>
        <color indexed="8"/>
        <rFont val="Arial"/>
        <family val="2"/>
      </rPr>
      <t>U1.2.3</t>
    </r>
  </si>
  <si>
    <r>
      <t xml:space="preserve">    </t>
    </r>
    <r>
      <rPr>
        <sz val="5.95"/>
        <color indexed="8"/>
        <rFont val="Arial"/>
        <family val="2"/>
      </rPr>
      <t>U1.2.2</t>
    </r>
  </si>
  <si>
    <r>
      <t xml:space="preserve">    </t>
    </r>
    <r>
      <rPr>
        <sz val="5.95"/>
        <color indexed="8"/>
        <rFont val="Arial"/>
        <family val="2"/>
      </rPr>
      <t>U1.2.1</t>
    </r>
  </si>
  <si>
    <t>1.2 - INTERVENTI DIVERSI</t>
  </si>
  <si>
    <r>
      <t xml:space="preserve">  </t>
    </r>
    <r>
      <rPr>
        <b/>
        <sz val="5.95"/>
        <color indexed="8"/>
        <rFont val="Arial"/>
        <family val="2"/>
      </rPr>
      <t>U1.2</t>
    </r>
  </si>
  <si>
    <t>TOTALE 1.1 - FUNZIONAMENTO</t>
  </si>
  <si>
    <r>
      <t xml:space="preserve">    </t>
    </r>
    <r>
      <rPr>
        <sz val="5.95"/>
        <color indexed="8"/>
        <rFont val="Arial"/>
        <family val="2"/>
      </rPr>
      <t>U1.1.3</t>
    </r>
  </si>
  <si>
    <r>
      <t xml:space="preserve">    </t>
    </r>
    <r>
      <rPr>
        <sz val="5.95"/>
        <color indexed="8"/>
        <rFont val="Arial"/>
        <family val="2"/>
      </rPr>
      <t>U1.1.2</t>
    </r>
  </si>
  <si>
    <r>
      <t xml:space="preserve">    </t>
    </r>
    <r>
      <rPr>
        <sz val="5.95"/>
        <color indexed="8"/>
        <rFont val="Arial"/>
        <family val="2"/>
      </rPr>
      <t>U1.1.1</t>
    </r>
  </si>
  <si>
    <t>1.1 - FUNZIONAMENTO</t>
  </si>
  <si>
    <r>
      <t xml:space="preserve">  </t>
    </r>
    <r>
      <rPr>
        <b/>
        <sz val="5.95"/>
        <color indexed="8"/>
        <rFont val="Arial"/>
        <family val="2"/>
      </rPr>
      <t>U1.1</t>
    </r>
  </si>
  <si>
    <t xml:space="preserve">              Cassa                (Pagamenti)</t>
  </si>
  <si>
    <t>Competenza (Impegni)</t>
  </si>
  <si>
    <t>Cassa (Pagamenti)</t>
  </si>
  <si>
    <t>USCITE</t>
  </si>
  <si>
    <t>QUADRO GENERALE RIASSUNTIVO CONSUNTIVO</t>
  </si>
  <si>
    <t>COMPETENZA</t>
  </si>
  <si>
    <t>CASSA</t>
  </si>
  <si>
    <r>
      <t xml:space="preserve">    </t>
    </r>
    <r>
      <rPr>
        <sz val="8"/>
        <rFont val="Arial"/>
        <family val="2"/>
      </rPr>
      <t>UPB 1.1 - ENTRATE DERIVANTI DA TRASFERIMENTI CORRENTI</t>
    </r>
  </si>
  <si>
    <r>
      <t xml:space="preserve">    </t>
    </r>
    <r>
      <rPr>
        <sz val="8"/>
        <rFont val="Arial"/>
        <family val="2"/>
      </rPr>
      <t>UPB 1.2 - ENTRATE DIVERSE</t>
    </r>
  </si>
  <si>
    <t>TOTALE TITOLO I</t>
  </si>
  <si>
    <r>
      <t xml:space="preserve">    </t>
    </r>
    <r>
      <rPr>
        <sz val="8"/>
        <rFont val="Arial"/>
        <family val="2"/>
      </rPr>
      <t>UPB 2.1 - ENTRATE PER ALIENAZIONE DI BENI PATRIMONIALI E RISCOSSIONE DI CREDITI</t>
    </r>
  </si>
  <si>
    <r>
      <t xml:space="preserve">    </t>
    </r>
    <r>
      <rPr>
        <sz val="8"/>
        <rFont val="Arial"/>
        <family val="2"/>
      </rPr>
      <t>UPB 2.2 - ENTRATE DERIVANTI DA TRASFERIMENTI IN CONTO CAPITALE</t>
    </r>
  </si>
  <si>
    <r>
      <t xml:space="preserve">    </t>
    </r>
    <r>
      <rPr>
        <sz val="8"/>
        <rFont val="Arial"/>
        <family val="2"/>
      </rPr>
      <t>UPB 2.3 - ACCENSIONE DI PRESTITI</t>
    </r>
  </si>
  <si>
    <t>TOTALE TITOLO II</t>
  </si>
  <si>
    <r>
      <t xml:space="preserve">    </t>
    </r>
    <r>
      <rPr>
        <sz val="8"/>
        <rFont val="Arial"/>
        <family val="2"/>
      </rPr>
      <t>UPB 3.1 - ENTRATE AVENTI NATURA DI PARTITA DI GIRO</t>
    </r>
  </si>
  <si>
    <t>TOTALE TITOLO III</t>
  </si>
  <si>
    <t>Utilizzo dell'avanzo di amministrazione iniziale</t>
  </si>
  <si>
    <t>Totali a pareggio</t>
  </si>
  <si>
    <r>
      <t xml:space="preserve">    </t>
    </r>
    <r>
      <rPr>
        <sz val="8"/>
        <rFont val="Arial"/>
        <family val="2"/>
      </rPr>
      <t>1.1 - FUNZIONAMENTO</t>
    </r>
  </si>
  <si>
    <r>
      <t xml:space="preserve">    </t>
    </r>
    <r>
      <rPr>
        <sz val="8"/>
        <rFont val="Arial"/>
        <family val="2"/>
      </rPr>
      <t>1.2 - INTERVENTI DIVERSI</t>
    </r>
  </si>
  <si>
    <r>
      <t xml:space="preserve">    </t>
    </r>
    <r>
      <rPr>
        <sz val="8"/>
        <rFont val="Arial"/>
        <family val="2"/>
      </rPr>
      <t>1.3 - TRATTAMENTI DI QUIESCENZA, INTEGRATIVI E SOSTITUTIVI</t>
    </r>
  </si>
  <si>
    <r>
      <t xml:space="preserve">    </t>
    </r>
    <r>
      <rPr>
        <sz val="8"/>
        <rFont val="Arial"/>
        <family val="2"/>
      </rPr>
      <t>1.4 - ACCANTONAMENTI A FONDI RISCHI ED ONERI</t>
    </r>
  </si>
  <si>
    <r>
      <t xml:space="preserve">    </t>
    </r>
    <r>
      <rPr>
        <sz val="8"/>
        <rFont val="Arial"/>
        <family val="2"/>
      </rPr>
      <t>1.5 - ACCANTONAMENTI A FONDI RISCHI ED ONERI</t>
    </r>
  </si>
  <si>
    <t>TOTALE TITOLO I- UPB 1</t>
  </si>
  <si>
    <r>
      <t xml:space="preserve">    </t>
    </r>
    <r>
      <rPr>
        <sz val="8"/>
        <rFont val="Arial"/>
        <family val="2"/>
      </rPr>
      <t>2.1 - INVESTIMENTI</t>
    </r>
  </si>
  <si>
    <r>
      <t xml:space="preserve">    </t>
    </r>
    <r>
      <rPr>
        <sz val="8"/>
        <rFont val="Arial"/>
        <family val="2"/>
      </rPr>
      <t>2.2 - ONERI COMUNI</t>
    </r>
  </si>
  <si>
    <t>TOTALE TITOLO II - UPB 2</t>
  </si>
  <si>
    <r>
      <t xml:space="preserve">    </t>
    </r>
    <r>
      <rPr>
        <sz val="8"/>
        <rFont val="Arial"/>
        <family val="2"/>
      </rPr>
      <t>3.1 - USCITE AVENTI NATURA DI PARTITA DI GIRO</t>
    </r>
  </si>
  <si>
    <t>TOTALE TITOLO III - UPB. 3</t>
  </si>
  <si>
    <t>Copertura del disavanzo di amministrazione iniziale</t>
  </si>
  <si>
    <t>RISULTATI DIFFERENZIALI</t>
  </si>
  <si>
    <t>Situazione Finanziaria</t>
  </si>
  <si>
    <t>Saldo movimenti in c/capitale</t>
  </si>
  <si>
    <t>Indebitamento/Accreditamento netto</t>
  </si>
  <si>
    <t>Saldo netto da finanziare/impiegare</t>
  </si>
  <si>
    <t>Saldo complessivo</t>
  </si>
  <si>
    <t>Anno 2020</t>
  </si>
  <si>
    <t>mod. SITUAM (previsto dall'art. 42)</t>
  </si>
  <si>
    <t>SITUAZIONE AMMINISTRATIVA</t>
  </si>
  <si>
    <t>Consistenza della cassa all'inizio dell'esercizio</t>
  </si>
  <si>
    <t>in c/competenza</t>
  </si>
  <si>
    <t xml:space="preserve"> </t>
  </si>
  <si>
    <t>in c/residui</t>
  </si>
  <si>
    <t>Consistenza della cassa alla fine dell'esercizio</t>
  </si>
  <si>
    <t>Residui attivi</t>
  </si>
  <si>
    <t>degli esercizi precedenti</t>
  </si>
  <si>
    <t>dell'esercizio</t>
  </si>
  <si>
    <t>Residui passivi</t>
  </si>
  <si>
    <t>Avanzo</t>
  </si>
  <si>
    <t>dell'amministrazione alla fine dell'esercizio</t>
  </si>
  <si>
    <t>Disavanzo</t>
  </si>
  <si>
    <t>Parte vincolata</t>
  </si>
  <si>
    <t>al Trattamento di fine rapporto</t>
  </si>
  <si>
    <t>ai Fondi per rischi ed oneri per contenzioso tributario</t>
  </si>
  <si>
    <t>………………………………….</t>
  </si>
  <si>
    <t>al Fondo ripristino investimenti</t>
  </si>
  <si>
    <t>SEC</t>
  </si>
  <si>
    <t>per i seguenti altri vincolii</t>
  </si>
  <si>
    <t>delibera cipe diga e darsena al netto degli edifici</t>
  </si>
  <si>
    <t>…………………………………</t>
  </si>
  <si>
    <t>4015587 protocollo dragaggi al netto di 2150000 impegnati</t>
  </si>
  <si>
    <t>fondo acc.to per crediti di difficile esigibilità</t>
  </si>
  <si>
    <t>inserire il 4° vincolo tecnomecc ed aggiornare i precedenti</t>
  </si>
  <si>
    <t>inserire il fondo di riserva causa fiscale</t>
  </si>
  <si>
    <t>somme vincolate per immobilizzazioni finanziarie</t>
  </si>
  <si>
    <t>Totale parte vincolata</t>
  </si>
  <si>
    <t>Parte disponibile</t>
  </si>
  <si>
    <t>…………………………………………………….</t>
  </si>
  <si>
    <t>………………</t>
  </si>
  <si>
    <t>………………………………………..</t>
  </si>
  <si>
    <t>al netto del finanziamento di € 34.590.000 non più disponibile</t>
  </si>
  <si>
    <t>Totale parte disponibile</t>
  </si>
  <si>
    <t>assestato</t>
  </si>
  <si>
    <t>art 199</t>
  </si>
  <si>
    <t>L'utilizzazione dell'avanzo di amministrazione per l'esercizio 2021 risulta così prevista:</t>
  </si>
  <si>
    <t>E.F.</t>
  </si>
  <si>
    <t>CAPITOLO DI BILANCIO</t>
  </si>
  <si>
    <t>N. DELIBERA</t>
  </si>
  <si>
    <t>DEBITORE</t>
  </si>
  <si>
    <t>IMPORTO ALL'1/1</t>
  </si>
  <si>
    <t>IMPORTO AL 1/1</t>
  </si>
  <si>
    <t>PAGATO</t>
  </si>
  <si>
    <t>IMPORTO AL 31/12</t>
  </si>
  <si>
    <t>OGGETTO DEL CREDITO</t>
  </si>
  <si>
    <t>PERIODO</t>
  </si>
  <si>
    <t>descr</t>
  </si>
  <si>
    <t>DRAGAMAR</t>
  </si>
  <si>
    <t>NO</t>
  </si>
  <si>
    <t>CANONI DEMANIALI</t>
  </si>
  <si>
    <t xml:space="preserve">licenza </t>
  </si>
  <si>
    <t>4/2000</t>
  </si>
  <si>
    <t>can</t>
  </si>
  <si>
    <t>OK</t>
  </si>
  <si>
    <t>VINCOLATI</t>
  </si>
  <si>
    <t>canone demaniale</t>
  </si>
  <si>
    <t>09</t>
  </si>
  <si>
    <t>CEMIT SRL</t>
  </si>
  <si>
    <t>CANONI PER DEPOSITO MERCI IN PORTO</t>
  </si>
  <si>
    <t>ope</t>
  </si>
  <si>
    <t>deposito merci</t>
  </si>
  <si>
    <t>10</t>
  </si>
  <si>
    <t>MARENTECH ITALIA SRL</t>
  </si>
  <si>
    <t>gen - feb 2011</t>
  </si>
  <si>
    <t>apr - mag- giu 2011</t>
  </si>
  <si>
    <t>lug - ago 2011</t>
  </si>
  <si>
    <t>MINISTERO INFRASTRUTTURE E TRAPORTI</t>
  </si>
  <si>
    <t>FINANZIAMENTI OPERE PORTUALI</t>
  </si>
  <si>
    <t xml:space="preserve">CIPE 104/10 - Convenzione DEL 9.11.2011  </t>
  </si>
  <si>
    <t>CRED</t>
  </si>
  <si>
    <t xml:space="preserve">CAFFIO Vincenzo S.r.l. </t>
  </si>
  <si>
    <t>INTERESSI DI MORA</t>
  </si>
  <si>
    <t>4785/SG/OPE in data 21.05.2012</t>
  </si>
  <si>
    <t>DIPENDENTI</t>
  </si>
  <si>
    <t>RECUPERO EX ART. 9, CO. 1 . D.L. 78/2010</t>
  </si>
  <si>
    <t>VERBALE DEL COLLEGIO DEI REVISORI N. 8/13 DEL 9/12/13</t>
  </si>
  <si>
    <t>ILVA SPA</t>
  </si>
  <si>
    <t>7/02</t>
  </si>
  <si>
    <t>P.T.U. SRL</t>
  </si>
  <si>
    <t>PARZ</t>
  </si>
  <si>
    <t>23/12</t>
  </si>
  <si>
    <t>COMMISSARIO PER LE BONIFICHE</t>
  </si>
  <si>
    <t xml:space="preserve">Protocollo d’Intesa del 19 dicembre 2013 </t>
  </si>
  <si>
    <t>PON 2007/2013+PON 2014/2020</t>
  </si>
  <si>
    <t xml:space="preserve">Decreto dell’AdG n.11313 del 24/12/2013 </t>
  </si>
  <si>
    <t>23/14</t>
  </si>
  <si>
    <t>RIMBORSO SOMME ANTICIPATE PER CONTO TERZI</t>
  </si>
  <si>
    <t>Delibera 330 - 24/08/2015</t>
  </si>
  <si>
    <t>Delibera 389 - 01/10/2015</t>
  </si>
  <si>
    <t>CGIL  1° lotto</t>
  </si>
  <si>
    <t>SI</t>
  </si>
  <si>
    <t>OFFICINE LEONCINI &amp; C. SRL</t>
  </si>
  <si>
    <t>CONSORZIO STABILE GRANDI LAVORI</t>
  </si>
  <si>
    <t>NO CRED</t>
  </si>
  <si>
    <t>PROVINCIA DI TARANTO</t>
  </si>
  <si>
    <t>ASTALDI SPA</t>
  </si>
  <si>
    <t>RUSSO MASSIMO</t>
  </si>
  <si>
    <t>RECUPERO SPESE LEGALI</t>
  </si>
  <si>
    <t>FILT CGIL TARANTO</t>
  </si>
  <si>
    <t>RECUPERI  E RIMBORSI DIVERSI</t>
  </si>
  <si>
    <t>Programma Interreg IPA CBC Italy–Albania–Montenegro 2014/2020</t>
  </si>
  <si>
    <t>PROGETTI COMUNITARI</t>
  </si>
  <si>
    <t>PROGRAMMA interreg V-A grecia – italia 2014-2020”</t>
  </si>
  <si>
    <t>ENI SPA</t>
  </si>
  <si>
    <t>GIANCONTE DI GIANDOMENICO MARIA LAURA &amp; C. SAS</t>
  </si>
  <si>
    <t>AGENZIA DELLE DOGANE</t>
  </si>
  <si>
    <t xml:space="preserve">HADID MEDITERRANEAN PORTS SRL </t>
  </si>
  <si>
    <t>econ</t>
  </si>
  <si>
    <t xml:space="preserve">GIANCONTE DI GIANDOMENICO MARIA LAURA &amp; C. SAS </t>
  </si>
  <si>
    <t>rag</t>
  </si>
  <si>
    <t xml:space="preserve">RENEXIA SERVICES SRL </t>
  </si>
  <si>
    <t xml:space="preserve">LE.DE. SOCIETA' ARMATORIALE S.P.A. </t>
  </si>
  <si>
    <t xml:space="preserve">FINCOSIT SRL </t>
  </si>
  <si>
    <t xml:space="preserve">ARKAD-ABB SPA </t>
  </si>
  <si>
    <t xml:space="preserve">SOMMOZZATORI SOC. COOPERATIVA A R.L. </t>
  </si>
  <si>
    <t xml:space="preserve">ENEL X SRL </t>
  </si>
  <si>
    <t xml:space="preserve">2i RETE GAS SPA </t>
  </si>
  <si>
    <t xml:space="preserve">AGENZIA MARITTIMA E SPEDIZIONI PRISCO OSVALDO DI PRISCO FRANCESCO </t>
  </si>
  <si>
    <t xml:space="preserve">APPRODI SRL </t>
  </si>
  <si>
    <t>ARCELORMITTAL ITALIA SPA</t>
  </si>
  <si>
    <t xml:space="preserve">ASSOCIAZIONE IL PALIO DI TARANTO </t>
  </si>
  <si>
    <t xml:space="preserve">BARION S.R.L. </t>
  </si>
  <si>
    <t xml:space="preserve">BASILE PETROLI SPA </t>
  </si>
  <si>
    <t>CEMITALY SPA</t>
  </si>
  <si>
    <t xml:space="preserve">CEMITALY SPA </t>
  </si>
  <si>
    <t xml:space="preserve">NUOVA NEPTUNIA S. C. A R. L.  </t>
  </si>
  <si>
    <t xml:space="preserve">E-DISTRIBUZIONE SPA </t>
  </si>
  <si>
    <t xml:space="preserve">ECOSERVIZI S.R.L. </t>
  </si>
  <si>
    <t xml:space="preserve">ECOTARAS SPA </t>
  </si>
  <si>
    <t xml:space="preserve">FILT CGIL TARANTO </t>
  </si>
  <si>
    <t xml:space="preserve">GAP ENERGY ITALIA 1 SRL </t>
  </si>
  <si>
    <t xml:space="preserve">GEOTEST SRL </t>
  </si>
  <si>
    <t xml:space="preserve">GRUPPO ORMEGGIATORI DEL PORTO DI TARANTO SOC. COOP. </t>
  </si>
  <si>
    <t xml:space="preserve">TRITON SRL </t>
  </si>
  <si>
    <t xml:space="preserve">ITALCAVE SPA </t>
  </si>
  <si>
    <t xml:space="preserve">MANTUA &amp; DE IACOVO SHIPPING SRL </t>
  </si>
  <si>
    <t>M-LOG SRL</t>
  </si>
  <si>
    <t>MORFINI S.p.A.</t>
  </si>
  <si>
    <t>NIGROMARE SRL</t>
  </si>
  <si>
    <t>PEYRANI SUD SPA</t>
  </si>
  <si>
    <t>PICARDI SHIPPING SRL</t>
  </si>
  <si>
    <t>RIMORCHIATORI NAPOLETANI SRL</t>
  </si>
  <si>
    <t>SEMATAF SRL</t>
  </si>
  <si>
    <t>SNAM RETE GAS SPA</t>
  </si>
  <si>
    <t xml:space="preserve">ARCIDIOCESI DI TARANTO - STELLA MARIS </t>
  </si>
  <si>
    <t>TEOREMA SPA</t>
  </si>
  <si>
    <t xml:space="preserve">TITI SHIPPING SRL </t>
  </si>
  <si>
    <t>BANCA D'ITALIA - INTERESSI ATTIVI</t>
  </si>
  <si>
    <t xml:space="preserve">GEA SPEDIZIONI DOGANALI </t>
  </si>
  <si>
    <t>ok</t>
  </si>
  <si>
    <t>SEGRETARIO GENERALE</t>
  </si>
  <si>
    <t>DIPENDENTE</t>
  </si>
  <si>
    <t>PRESIDENTE</t>
  </si>
  <si>
    <t>MINISTERO INFRASTRUTTURE - DELIBERA CIPE N. 98 DEL 22/12/2017</t>
  </si>
  <si>
    <t>MINISTERO INFRASTRUTTURE - FONDO PROGETTAZIONE</t>
  </si>
  <si>
    <t>PROGRAMMA OPERATIVO NAZIONALE “LEGALITÀ” 2014-2020 -</t>
  </si>
  <si>
    <t>BANCA D'ITALIA - IRPEF</t>
  </si>
  <si>
    <t>AUTORITA' PORTUALE</t>
  </si>
  <si>
    <t xml:space="preserve">OK </t>
  </si>
  <si>
    <t>CONC. SERVIZIO RACCOLTA, TRASPORTO, RECUPERO E/O SMALTIMENTO DELLE ACQUE DI SENTINA</t>
  </si>
  <si>
    <t>Barion Srl 1° lotto</t>
  </si>
  <si>
    <t>Massimo Russo 1° lotto</t>
  </si>
  <si>
    <t>MORFINI</t>
  </si>
  <si>
    <t>Ministero Difesa 1° lotto</t>
  </si>
  <si>
    <t>Mantua 1° lotto</t>
  </si>
  <si>
    <t>M-Log 1° lotto</t>
  </si>
  <si>
    <t>CGIL  1° lotto</t>
  </si>
  <si>
    <t>PRISCO OSVALDO</t>
  </si>
  <si>
    <t>Stella Maris 2° lotto</t>
  </si>
  <si>
    <t>Gianconte 2° lotto</t>
  </si>
  <si>
    <t>Marigeminil  n. 2 quote 2° lotto</t>
  </si>
  <si>
    <t>Italcave</t>
  </si>
  <si>
    <t>Grandi Lavori Fincosit</t>
  </si>
  <si>
    <t>BASILE PETROLI SPA</t>
  </si>
  <si>
    <t>APPRODI SRL</t>
  </si>
  <si>
    <t xml:space="preserve">RIMBORSO PUBBLICAZIONI -SERVIZIO DI PULIZIA A RIDOTTO IMPATTO AMBIENTALE ANNI DUE </t>
  </si>
  <si>
    <t>RIMBORSO PUBBLICAZIONI -RETE DI RACCOLTA E TRATTAMENTO ACQUE</t>
  </si>
  <si>
    <t>RESIDUI ANNI PRECEDENTI</t>
  </si>
  <si>
    <t>coincidono con rendiconto</t>
  </si>
  <si>
    <t>REGIONE PUGLIA ASL 118</t>
  </si>
  <si>
    <t>ACQUEDOTTO PUGLIESE</t>
  </si>
  <si>
    <t>BUNKERAGGI SRL</t>
  </si>
  <si>
    <t>BELEOLICO SRL</t>
  </si>
  <si>
    <t>CEMENTI CENTRO SUD</t>
  </si>
  <si>
    <t>CE.SUB. SRL</t>
  </si>
  <si>
    <t>GRUPPO BARCAIOLI</t>
  </si>
  <si>
    <t>HIDROCHEMICAL SERVICE SRL</t>
  </si>
  <si>
    <t xml:space="preserve">RACCOMAR </t>
  </si>
  <si>
    <t>DIREZIONE DEL GENIO MM</t>
  </si>
  <si>
    <t>PROGETTO “ECOWAVES</t>
  </si>
  <si>
    <t>PROGETTO “SMART AND SUSTAINABLE ENERGY PORT - SMARTPORT”</t>
  </si>
  <si>
    <t>PON LEGALITA' 2014-2020</t>
  </si>
  <si>
    <t>RIMBORSO PUBBLICAZIONI CONCESSIONI</t>
  </si>
  <si>
    <t>RIMBORSO PUBBLICAZIONI BANDI DI GARA</t>
  </si>
  <si>
    <t xml:space="preserve"> RENDICONTO</t>
  </si>
  <si>
    <t>TOTALE</t>
  </si>
  <si>
    <t>ENTRATE PARTE I                                                    Dal 01/01/2021                    Al 31/12/2021                    Anno di gestione: 2021                                        09/03/2022</t>
  </si>
  <si>
    <t>E900</t>
  </si>
  <si>
    <t>AVANZO     DI AMMINISTRAZIONE</t>
  </si>
  <si>
    <t>TOTALE TITOLO E900</t>
  </si>
  <si>
    <t>E910</t>
  </si>
  <si>
    <t>FONDO     DI CASSA</t>
  </si>
  <si>
    <t xml:space="preserve">TOTALE CATEGORIA </t>
  </si>
  <si>
    <t>TOTALE TITOLO E910</t>
  </si>
  <si>
    <t>ENTRATE PARTE II                                                    Dal 01/01/2021                    Al 31/12/2021                    Anno di gestione: 2021                                        09/03/2022</t>
  </si>
  <si>
    <t>USCITE PARTE I                                                    Dal 01/01/2021                    Al 31/12/2021                    Anno di gestione: 2021                                        09/03/2022</t>
  </si>
  <si>
    <t>Categoria 2.1.3 - PARTECIPAZIONI ED ACQUISTO DI VALORI MOBILIARI</t>
  </si>
  <si>
    <t>USCITE PARTE II                                                    Dal 01/01/2021                    Al 31/12/2021                    Anno di gestione: 2021                                        09/03/2022</t>
  </si>
  <si>
    <t>Anno 2021</t>
  </si>
  <si>
    <t>Totale Risultato di amministrazione  al 31/12/2021</t>
  </si>
  <si>
    <t>somme vincolate per residui demaniali di difficile esigibilità</t>
  </si>
  <si>
    <t>somme vincolate per canoni d.m. di difficile esigibilità</t>
  </si>
  <si>
    <t>Accantonamento fondi propri per intervento di completamento della messa in sicurezza</t>
  </si>
  <si>
    <t xml:space="preserve"> permanente della falda nell’area Ex Yard Belleli ricompresa nel SIN di Taranto</t>
  </si>
  <si>
    <t>RESIDUI ATTIVI DA MANTENERE AL 31.12.2021</t>
  </si>
  <si>
    <t>IMPORTO  AL 31/12/2021</t>
  </si>
  <si>
    <t>TECNOEMME Srl - BANDO DI GARA IMPIANTI ELETTRICI</t>
  </si>
  <si>
    <t>GARE/TEC</t>
  </si>
  <si>
    <t>Consorzio 4IT Construction - BANDO DI GARA RIQUALIFICAZIONE BANCHINA E PIAZZALI IN RADICE MOLO POLISETTORIALE</t>
  </si>
  <si>
    <t>BRILLANTE SRL - BANDO DI GARA PULIZIA UFFICI SEDE ENTE</t>
  </si>
  <si>
    <t>GARE/ECON</t>
  </si>
  <si>
    <t>RCM COSTRUZIONI - LAVORI DI RETTIFICA BANCHINA</t>
  </si>
  <si>
    <t>RCM Costruzioni Srl - IMPALCATO MOLO SAN CATALDO</t>
  </si>
  <si>
    <t>ECOLOGICA S.p.A - BANDO DI GARA PULIZIA AREE PORTUALI</t>
  </si>
  <si>
    <t>MINISTERO INFRASTRUTTURE E TRAPORTI - PROTOCOLLO INTESA</t>
  </si>
  <si>
    <t>CBS CENTRO BONIFICHE - PUBBLICAZIONE CONCESSIONE D.M.</t>
  </si>
  <si>
    <t>DEM</t>
  </si>
  <si>
    <t>GRANDI LAVORI FINCOSIT - PUBBLICAZIONE CONCESSIONI D.M.</t>
  </si>
  <si>
    <t>RCM Costruzioni Srl - ESITO DI GARA IMPALCATO</t>
  </si>
  <si>
    <t>ECOLOGICA SPA - ESITO DI GARA PULIZIA</t>
  </si>
  <si>
    <t>GARE/OPE</t>
  </si>
  <si>
    <t>ECON</t>
  </si>
  <si>
    <t xml:space="preserve">Stella Maris </t>
  </si>
  <si>
    <t>RIMBORSO PUBBLICAZIONI BANDI DI GARA GLOBAL SERVICE</t>
  </si>
  <si>
    <t>Gettito della tassa d'ancoraggio</t>
  </si>
  <si>
    <t>SAN CATALDO CONTAINER TERMINAL SPA</t>
  </si>
  <si>
    <t xml:space="preserve">ECOLOGICA SPA </t>
  </si>
  <si>
    <t xml:space="preserve">ALFA RECYCLING SRL </t>
  </si>
  <si>
    <t xml:space="preserve">PROVINCIA DI TARANTO </t>
  </si>
  <si>
    <t>ACCIAIERIE ITALIA SPA</t>
  </si>
  <si>
    <t xml:space="preserve">Barion Srl </t>
  </si>
  <si>
    <t>Stella Maris</t>
  </si>
  <si>
    <t>FONDIRIGENTI</t>
  </si>
  <si>
    <t>FONDIMPRESA</t>
  </si>
  <si>
    <t>San Cataldo Container Terminal Sp</t>
  </si>
  <si>
    <t xml:space="preserve">HELVETIA ASSICURAZIONI </t>
  </si>
  <si>
    <t>ECOTARAS SPA</t>
  </si>
  <si>
    <t>ITALCAVE SPA</t>
  </si>
  <si>
    <t>TITI SHIPPING SRL</t>
  </si>
  <si>
    <t>PIASTRA - IGRUE</t>
  </si>
  <si>
    <t>AUTORITA' PORTUALE - IRPEF</t>
  </si>
  <si>
    <t>AUTORITA' PORTUALE - INPS</t>
  </si>
  <si>
    <t>VALORI BOLLATI</t>
  </si>
  <si>
    <t>Approdi Srl</t>
  </si>
  <si>
    <t xml:space="preserve">GLOBAL SERVICE </t>
  </si>
  <si>
    <t>RIMBORSO SPESE DI PUBBLICAZIONE -CONCESSIONARIO SERVIZIO ACQUE DI SENTINA</t>
  </si>
  <si>
    <t xml:space="preserve">RIMBORSO SPESE DI PUBBLICAZIONE  -SERVIZIO PULIZIA </t>
  </si>
  <si>
    <t>CONCESSIONARI - RIMBORSO SPESE ASSICURAZIONE</t>
  </si>
  <si>
    <t>RIMBORSO PUBBLICAZIONI - SERVIZIO VIGILANZA</t>
  </si>
  <si>
    <t>RESIDUI ATTIVI TOTALI</t>
  </si>
  <si>
    <t>Regione Puglia - intervento di completamento della messa in sicurezza</t>
  </si>
  <si>
    <t>anticipazione fondo complementare PNRR d.l. 59/2021</t>
  </si>
  <si>
    <t>PROGRAMMA RECUPERO WATERFRONT” delibera del presidente n. 87/2022</t>
  </si>
  <si>
    <t xml:space="preserve">Anno 2020 </t>
  </si>
  <si>
    <t>realizzazione dell’ECO INDUSTRIAL PARK</t>
  </si>
  <si>
    <t>finanziamento "impalcato in cap" non  utilizzato</t>
  </si>
  <si>
    <t>finanziamento "piazzale radice molo san cataldo" non  utilizzato</t>
  </si>
  <si>
    <t>finanziamento "rettifica allargamento e adeguamento strutturale della banchina"  non utilizzato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</si>
</sst>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###,##0.00"/>
    <numFmt numFmtId="167" formatCode="[$-10410]###,##0.00"/>
    <numFmt numFmtId="168" formatCode="_-[$€]\ * #,##0_-;\-[$€]\ * #,##0_-;_-[$€]\ * &quot;-&quot;??_-;_-@_-"/>
    <numFmt numFmtId="169" formatCode="_-[$€]\ * #,##0.00_-;\-[$€]\ * #,##0.00_-;_-[$€]\ * &quot;-&quot;??_-;_-@_-"/>
    <numFmt numFmtId="170" formatCode="_-* #,##0.00\ [$€-1007]_-;\-* #,##0.00\ [$€-1007]_-;_-* &quot;-&quot;??\ [$€-1007]_-;_-@_-"/>
    <numFmt numFmtId="171" formatCode="_-[$€-2]\ * #,##0_-;\-[$€-2]\ * #,##0_-;_-[$€-2]\ * &quot;-&quot;_-;_-@_-"/>
    <numFmt numFmtId="172" formatCode="_-[$€-2]\ * #,##0_-;\-[$€-2]\ * #,##0_-;_-[$€-2]\ * &quot;-&quot;??_-"/>
    <numFmt numFmtId="173" formatCode="_-[$€-2]\ * #,##0.00_-;\-[$€-2]\ * #,##0.00_-;_-[$€-2]\ * &quot;-&quot;??_-"/>
    <numFmt numFmtId="174" formatCode="[$-410]mmm\-yy;@"/>
    <numFmt numFmtId="175" formatCode="_-[$€-2]\ * #,##0.00_-;\-[$€-2]\ * #,##0.00_-;_-[$€-2]\ * &quot;-&quot;_-;_-@_-"/>
    <numFmt numFmtId="176" formatCode="_-&quot;€&quot;\ * #,##0_-;\-&quot;€&quot;\ * #,##0_-;_-&quot;€&quot;\ * &quot;-&quot;??_-;_-@_-"/>
    <numFmt numFmtId="177" formatCode="_-[$€-410]\ * #,##0.00_-;\-[$€-410]\ * #,##0.00_-;_-[$€-410]\ * &quot;-&quot;??_-;_-@_-"/>
    <numFmt numFmtId="178" formatCode="_-* #,##0.00\ [$€-803]_-;\-* #,##0.00\ [$€-803]_-;_-* &quot;-&quot;??\ [$€-803]_-;_-@_-"/>
    <numFmt numFmtId="179" formatCode="_-* #,##0.000\ _€_-;\-* #,##0.000\ _€_-;_-* &quot;-&quot;???\ _€_-;_-@_-"/>
    <numFmt numFmtId="180" formatCode="_-[$€-410]\ * #,##0_-;\-[$€-410]\ * #,##0_-;_-[$€-410]\ * &quot;-&quot;??_-;_-@_-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color indexed="10"/>
      <name val="Arial"/>
      <family val="2"/>
    </font>
    <font>
      <b/>
      <i/>
      <sz val="5.95"/>
      <color indexed="10"/>
      <name val="Arial"/>
      <family val="2"/>
    </font>
    <font>
      <b/>
      <sz val="5.95"/>
      <color indexed="10"/>
      <name val="Arial"/>
      <family val="2"/>
    </font>
    <font>
      <b/>
      <sz val="5.95"/>
      <color indexed="8"/>
      <name val="Arial"/>
      <family val="2"/>
    </font>
    <font>
      <sz val="5.95"/>
      <color indexed="8"/>
      <name val="Arial"/>
      <family val="2"/>
    </font>
    <font>
      <sz val="5.95"/>
      <name val="Arial"/>
      <family val="2"/>
    </font>
    <font>
      <b/>
      <i/>
      <sz val="5.95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12"/>
      <name val="Tahoma"/>
      <family val="2"/>
    </font>
    <font>
      <b/>
      <sz val="9"/>
      <color indexed="15"/>
      <name val="Arial"/>
      <family val="2"/>
    </font>
    <font>
      <sz val="10"/>
      <name val="Courier New"/>
      <family val="3"/>
    </font>
    <font>
      <b/>
      <sz val="8"/>
      <name val="Arial"/>
      <family val="2"/>
    </font>
    <font>
      <b/>
      <sz val="8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Arial"/>
      <family val="2"/>
    </font>
    <font>
      <sz val="11"/>
      <name val="Times New Roman"/>
      <family val="1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2"/>
    <xf numFmtId="0" fontId="10" fillId="6" borderId="4" xfId="2" applyFont="1" applyFill="1" applyBorder="1" applyAlignment="1" applyProtection="1">
      <alignment vertical="center" wrapText="1" readingOrder="1"/>
      <protection locked="0"/>
    </xf>
    <xf numFmtId="0" fontId="10" fillId="6" borderId="4" xfId="2" applyFont="1" applyFill="1" applyBorder="1" applyAlignment="1" applyProtection="1">
      <alignment horizontal="center" vertical="center" wrapText="1" readingOrder="1"/>
      <protection locked="0"/>
    </xf>
    <xf numFmtId="0" fontId="12" fillId="7" borderId="4" xfId="2" applyFont="1" applyFill="1" applyBorder="1" applyAlignment="1" applyProtection="1">
      <alignment vertical="center" wrapText="1" readingOrder="1"/>
      <protection locked="0"/>
    </xf>
    <xf numFmtId="0" fontId="11" fillId="7" borderId="4" xfId="2" applyFont="1" applyFill="1" applyBorder="1" applyAlignment="1" applyProtection="1">
      <alignment horizontal="right" vertical="center" wrapText="1" readingOrder="1"/>
      <protection locked="0"/>
    </xf>
    <xf numFmtId="0" fontId="13" fillId="8" borderId="4" xfId="2" applyFont="1" applyFill="1" applyBorder="1" applyAlignment="1" applyProtection="1">
      <alignment vertical="center" wrapText="1" readingOrder="1"/>
      <protection locked="0"/>
    </xf>
    <xf numFmtId="0" fontId="13" fillId="9" borderId="4" xfId="2" applyFont="1" applyFill="1" applyBorder="1" applyAlignment="1" applyProtection="1">
      <alignment vertical="center" wrapText="1" readingOrder="1"/>
      <protection locked="0"/>
    </xf>
    <xf numFmtId="0" fontId="14" fillId="0" borderId="4" xfId="2" applyFont="1" applyBorder="1" applyAlignment="1" applyProtection="1">
      <alignment vertical="center" wrapText="1" readingOrder="1"/>
      <protection locked="0"/>
    </xf>
    <xf numFmtId="167" fontId="14" fillId="0" borderId="4" xfId="2" applyNumberFormat="1" applyFont="1" applyBorder="1" applyAlignment="1" applyProtection="1">
      <alignment horizontal="right" vertical="center" wrapText="1" readingOrder="1"/>
      <protection locked="0"/>
    </xf>
    <xf numFmtId="167" fontId="13" fillId="0" borderId="4" xfId="2" applyNumberFormat="1" applyFont="1" applyBorder="1" applyAlignment="1" applyProtection="1">
      <alignment horizontal="right" vertical="center" wrapText="1" readingOrder="1"/>
      <protection locked="0"/>
    </xf>
    <xf numFmtId="167" fontId="15" fillId="4" borderId="4" xfId="2" applyNumberFormat="1" applyFont="1" applyFill="1" applyBorder="1" applyAlignment="1" applyProtection="1">
      <alignment horizontal="right" vertical="center" wrapText="1" readingOrder="1"/>
      <protection locked="0"/>
    </xf>
    <xf numFmtId="167" fontId="13" fillId="4" borderId="4" xfId="2" applyNumberFormat="1" applyFont="1" applyFill="1" applyBorder="1" applyAlignment="1" applyProtection="1">
      <alignment horizontal="right" vertical="center" wrapText="1" readingOrder="1"/>
      <protection locked="0"/>
    </xf>
    <xf numFmtId="167" fontId="14" fillId="4" borderId="4" xfId="2" applyNumberFormat="1" applyFont="1" applyFill="1" applyBorder="1" applyAlignment="1" applyProtection="1">
      <alignment horizontal="right" vertical="center" wrapText="1" readingOrder="1"/>
      <protection locked="0"/>
    </xf>
    <xf numFmtId="167" fontId="16" fillId="0" borderId="4" xfId="2" applyNumberFormat="1" applyFont="1" applyBorder="1" applyAlignment="1" applyProtection="1">
      <alignment horizontal="right" vertical="center" wrapText="1" readingOrder="1"/>
      <protection locked="0"/>
    </xf>
    <xf numFmtId="0" fontId="6" fillId="4" borderId="0" xfId="2" applyFill="1"/>
    <xf numFmtId="4" fontId="6" fillId="0" borderId="0" xfId="2" applyNumberFormat="1"/>
    <xf numFmtId="167" fontId="17" fillId="0" borderId="4" xfId="2" applyNumberFormat="1" applyFont="1" applyBorder="1" applyAlignment="1" applyProtection="1">
      <alignment horizontal="right" vertical="center" wrapText="1" readingOrder="1"/>
      <protection locked="0"/>
    </xf>
    <xf numFmtId="167" fontId="19" fillId="6" borderId="27" xfId="2" applyNumberFormat="1" applyFont="1" applyFill="1" applyBorder="1" applyAlignment="1" applyProtection="1">
      <alignment horizontal="right" vertical="top" wrapText="1" readingOrder="1"/>
      <protection locked="0"/>
    </xf>
    <xf numFmtId="167" fontId="19" fillId="10" borderId="27" xfId="2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29" xfId="2" applyBorder="1"/>
    <xf numFmtId="0" fontId="6" fillId="0" borderId="30" xfId="2" applyBorder="1"/>
    <xf numFmtId="0" fontId="6" fillId="0" borderId="31" xfId="2" applyBorder="1"/>
    <xf numFmtId="0" fontId="6" fillId="0" borderId="7" xfId="2" applyBorder="1"/>
    <xf numFmtId="168" fontId="6" fillId="0" borderId="32" xfId="5" applyNumberFormat="1" applyFont="1" applyBorder="1"/>
    <xf numFmtId="168" fontId="6" fillId="0" borderId="0" xfId="2" applyNumberFormat="1"/>
    <xf numFmtId="0" fontId="6" fillId="0" borderId="32" xfId="2" applyBorder="1"/>
    <xf numFmtId="168" fontId="6" fillId="0" borderId="0" xfId="5" applyNumberFormat="1" applyFont="1" applyBorder="1"/>
    <xf numFmtId="168" fontId="6" fillId="4" borderId="33" xfId="5" applyNumberFormat="1" applyFont="1" applyFill="1" applyBorder="1"/>
    <xf numFmtId="168" fontId="6" fillId="4" borderId="34" xfId="2" applyNumberFormat="1" applyFill="1" applyBorder="1"/>
    <xf numFmtId="0" fontId="6" fillId="4" borderId="32" xfId="2" applyFill="1" applyBorder="1"/>
    <xf numFmtId="168" fontId="6" fillId="4" borderId="0" xfId="5" applyNumberFormat="1" applyFont="1" applyFill="1" applyBorder="1"/>
    <xf numFmtId="43" fontId="6" fillId="0" borderId="0" xfId="6" applyFont="1"/>
    <xf numFmtId="168" fontId="6" fillId="4" borderId="32" xfId="2" applyNumberFormat="1" applyFill="1" applyBorder="1"/>
    <xf numFmtId="168" fontId="6" fillId="4" borderId="32" xfId="5" applyNumberFormat="1" applyFont="1" applyFill="1" applyBorder="1"/>
    <xf numFmtId="168" fontId="6" fillId="4" borderId="34" xfId="5" applyNumberFormat="1" applyFont="1" applyFill="1" applyBorder="1"/>
    <xf numFmtId="0" fontId="26" fillId="0" borderId="35" xfId="2" applyFont="1" applyBorder="1" applyAlignment="1">
      <alignment horizontal="center"/>
    </xf>
    <xf numFmtId="168" fontId="26" fillId="4" borderId="32" xfId="2" applyNumberFormat="1" applyFont="1" applyFill="1" applyBorder="1"/>
    <xf numFmtId="0" fontId="26" fillId="0" borderId="7" xfId="2" applyFont="1" applyBorder="1" applyAlignment="1">
      <alignment horizontal="center"/>
    </xf>
    <xf numFmtId="0" fontId="6" fillId="0" borderId="36" xfId="2" applyBorder="1"/>
    <xf numFmtId="0" fontId="6" fillId="0" borderId="2" xfId="2" applyBorder="1"/>
    <xf numFmtId="0" fontId="6" fillId="4" borderId="2" xfId="2" applyFill="1" applyBorder="1"/>
    <xf numFmtId="0" fontId="6" fillId="4" borderId="3" xfId="2" applyFill="1" applyBorder="1"/>
    <xf numFmtId="0" fontId="26" fillId="0" borderId="7" xfId="2" applyFont="1" applyBorder="1"/>
    <xf numFmtId="168" fontId="6" fillId="0" borderId="0" xfId="5" applyNumberFormat="1" applyFont="1" applyFill="1" applyBorder="1"/>
    <xf numFmtId="168" fontId="6" fillId="0" borderId="32" xfId="5" applyNumberFormat="1" applyFont="1" applyFill="1" applyBorder="1"/>
    <xf numFmtId="14" fontId="6" fillId="0" borderId="0" xfId="2" applyNumberFormat="1"/>
    <xf numFmtId="164" fontId="28" fillId="0" borderId="32" xfId="0" applyNumberFormat="1" applyFont="1" applyBorder="1"/>
    <xf numFmtId="168" fontId="6" fillId="0" borderId="32" xfId="5" applyNumberFormat="1" applyFill="1" applyBorder="1"/>
    <xf numFmtId="169" fontId="0" fillId="0" borderId="0" xfId="5" applyNumberFormat="1" applyFont="1"/>
    <xf numFmtId="169" fontId="6" fillId="0" borderId="0" xfId="2" applyNumberFormat="1"/>
    <xf numFmtId="170" fontId="6" fillId="0" borderId="0" xfId="2" applyNumberFormat="1"/>
    <xf numFmtId="168" fontId="26" fillId="0" borderId="32" xfId="2" applyNumberFormat="1" applyFont="1" applyBorder="1"/>
    <xf numFmtId="0" fontId="6" fillId="0" borderId="0" xfId="2" applyAlignment="1">
      <alignment horizontal="center"/>
    </xf>
    <xf numFmtId="0" fontId="6" fillId="0" borderId="3" xfId="2" applyBorder="1"/>
    <xf numFmtId="0" fontId="6" fillId="3" borderId="0" xfId="2" applyFill="1"/>
    <xf numFmtId="43" fontId="6" fillId="0" borderId="0" xfId="1" applyFont="1"/>
    <xf numFmtId="0" fontId="6" fillId="4" borderId="7" xfId="2" applyFill="1" applyBorder="1"/>
    <xf numFmtId="0" fontId="26" fillId="4" borderId="7" xfId="2" applyFont="1" applyFill="1" applyBorder="1"/>
    <xf numFmtId="0" fontId="6" fillId="4" borderId="36" xfId="2" applyFill="1" applyBorder="1"/>
    <xf numFmtId="168" fontId="26" fillId="4" borderId="3" xfId="2" applyNumberFormat="1" applyFont="1" applyFill="1" applyBorder="1"/>
    <xf numFmtId="0" fontId="6" fillId="0" borderId="37" xfId="2" applyBorder="1"/>
    <xf numFmtId="0" fontId="31" fillId="0" borderId="0" xfId="2" applyFont="1"/>
    <xf numFmtId="171" fontId="6" fillId="0" borderId="0" xfId="2" applyNumberFormat="1" applyAlignment="1">
      <alignment wrapText="1"/>
    </xf>
    <xf numFmtId="172" fontId="24" fillId="4" borderId="0" xfId="2" applyNumberFormat="1" applyFont="1" applyFill="1" applyAlignment="1">
      <alignment wrapText="1"/>
    </xf>
    <xf numFmtId="0" fontId="19" fillId="4" borderId="38" xfId="2" applyFont="1" applyFill="1" applyBorder="1" applyAlignment="1">
      <alignment horizontal="left" vertical="top" shrinkToFit="1"/>
    </xf>
    <xf numFmtId="172" fontId="6" fillId="4" borderId="38" xfId="8" applyNumberFormat="1" applyFont="1" applyFill="1" applyBorder="1"/>
    <xf numFmtId="172" fontId="6" fillId="0" borderId="38" xfId="8" applyNumberFormat="1" applyFont="1" applyFill="1" applyBorder="1"/>
    <xf numFmtId="172" fontId="6" fillId="4" borderId="39" xfId="8" applyNumberFormat="1" applyFont="1" applyFill="1" applyBorder="1" applyAlignment="1">
      <alignment horizontal="left" wrapText="1"/>
    </xf>
    <xf numFmtId="49" fontId="6" fillId="4" borderId="38" xfId="8" applyNumberFormat="1" applyFont="1" applyFill="1" applyBorder="1" applyAlignment="1">
      <alignment wrapText="1"/>
    </xf>
    <xf numFmtId="166" fontId="19" fillId="4" borderId="38" xfId="2" applyNumberFormat="1" applyFont="1" applyFill="1" applyBorder="1"/>
    <xf numFmtId="49" fontId="6" fillId="4" borderId="39" xfId="8" applyNumberFormat="1" applyFont="1" applyFill="1" applyBorder="1" applyAlignment="1">
      <alignment horizontal="left"/>
    </xf>
    <xf numFmtId="14" fontId="6" fillId="4" borderId="38" xfId="8" applyNumberFormat="1" applyFont="1" applyFill="1" applyBorder="1" applyAlignment="1">
      <alignment horizontal="center"/>
    </xf>
    <xf numFmtId="174" fontId="6" fillId="4" borderId="38" xfId="8" applyNumberFormat="1" applyFont="1" applyFill="1" applyBorder="1" applyAlignment="1">
      <alignment horizontal="center" vertical="center"/>
    </xf>
    <xf numFmtId="0" fontId="19" fillId="4" borderId="38" xfId="2" applyFont="1" applyFill="1" applyBorder="1" applyAlignment="1">
      <alignment horizontal="left"/>
    </xf>
    <xf numFmtId="0" fontId="6" fillId="4" borderId="38" xfId="2" applyFill="1" applyBorder="1" applyAlignment="1">
      <alignment horizontal="center"/>
    </xf>
    <xf numFmtId="49" fontId="6" fillId="0" borderId="39" xfId="8" applyNumberFormat="1" applyFont="1" applyFill="1" applyBorder="1" applyAlignment="1">
      <alignment horizontal="left"/>
    </xf>
    <xf numFmtId="0" fontId="6" fillId="0" borderId="38" xfId="2" applyBorder="1" applyAlignment="1">
      <alignment horizontal="center" vertical="center"/>
    </xf>
    <xf numFmtId="14" fontId="6" fillId="0" borderId="38" xfId="2" applyNumberFormat="1" applyBorder="1" applyAlignment="1">
      <alignment horizontal="center"/>
    </xf>
    <xf numFmtId="17" fontId="6" fillId="0" borderId="38" xfId="2" applyNumberFormat="1" applyBorder="1" applyAlignment="1">
      <alignment horizontal="center" vertical="center"/>
    </xf>
    <xf numFmtId="174" fontId="6" fillId="0" borderId="38" xfId="2" applyNumberFormat="1" applyBorder="1" applyAlignment="1">
      <alignment horizontal="center" vertical="center"/>
    </xf>
    <xf numFmtId="0" fontId="6" fillId="4" borderId="38" xfId="2" applyFill="1" applyBorder="1"/>
    <xf numFmtId="49" fontId="19" fillId="4" borderId="39" xfId="2" applyNumberFormat="1" applyFont="1" applyFill="1" applyBorder="1" applyAlignment="1">
      <alignment horizontal="left"/>
    </xf>
    <xf numFmtId="0" fontId="30" fillId="0" borderId="0" xfId="0" applyFont="1"/>
    <xf numFmtId="0" fontId="6" fillId="0" borderId="38" xfId="2" applyBorder="1"/>
    <xf numFmtId="0" fontId="19" fillId="4" borderId="38" xfId="2" applyFont="1" applyFill="1" applyBorder="1" applyAlignment="1">
      <alignment horizontal="left" vertical="top" wrapText="1"/>
    </xf>
    <xf numFmtId="171" fontId="19" fillId="4" borderId="38" xfId="8" applyNumberFormat="1" applyFont="1" applyFill="1" applyBorder="1" applyAlignment="1">
      <alignment horizontal="left"/>
    </xf>
    <xf numFmtId="172" fontId="6" fillId="0" borderId="39" xfId="8" applyNumberFormat="1" applyFont="1" applyFill="1" applyBorder="1"/>
    <xf numFmtId="172" fontId="6" fillId="0" borderId="0" xfId="8" applyNumberFormat="1" applyFont="1" applyFill="1" applyBorder="1"/>
    <xf numFmtId="0" fontId="32" fillId="0" borderId="0" xfId="2" applyFont="1" applyAlignment="1">
      <alignment horizontal="left"/>
    </xf>
    <xf numFmtId="173" fontId="32" fillId="4" borderId="38" xfId="9" applyNumberFormat="1" applyFont="1" applyFill="1" applyBorder="1"/>
    <xf numFmtId="0" fontId="2" fillId="4" borderId="38" xfId="0" applyFont="1" applyFill="1" applyBorder="1"/>
    <xf numFmtId="0" fontId="19" fillId="4" borderId="38" xfId="2" applyFont="1" applyFill="1" applyBorder="1"/>
    <xf numFmtId="0" fontId="6" fillId="4" borderId="38" xfId="2" applyFill="1" applyBorder="1" applyAlignment="1">
      <alignment horizontal="left"/>
    </xf>
    <xf numFmtId="176" fontId="6" fillId="4" borderId="38" xfId="7" applyNumberFormat="1" applyFont="1" applyFill="1" applyBorder="1"/>
    <xf numFmtId="0" fontId="0" fillId="0" borderId="38" xfId="0" applyBorder="1"/>
    <xf numFmtId="176" fontId="0" fillId="4" borderId="38" xfId="7" applyNumberFormat="1" applyFont="1" applyFill="1" applyBorder="1"/>
    <xf numFmtId="0" fontId="0" fillId="4" borderId="38" xfId="0" applyFill="1" applyBorder="1" applyAlignment="1">
      <alignment horizontal="center"/>
    </xf>
    <xf numFmtId="0" fontId="0" fillId="4" borderId="38" xfId="0" applyFill="1" applyBorder="1"/>
    <xf numFmtId="0" fontId="33" fillId="4" borderId="38" xfId="0" applyFont="1" applyFill="1" applyBorder="1" applyAlignment="1">
      <alignment wrapText="1"/>
    </xf>
    <xf numFmtId="0" fontId="34" fillId="4" borderId="38" xfId="0" applyFont="1" applyFill="1" applyBorder="1" applyAlignment="1">
      <alignment vertical="center"/>
    </xf>
    <xf numFmtId="43" fontId="0" fillId="0" borderId="0" xfId="1" applyFont="1"/>
    <xf numFmtId="0" fontId="1" fillId="0" borderId="0" xfId="0" applyFont="1"/>
    <xf numFmtId="172" fontId="0" fillId="0" borderId="0" xfId="0" applyNumberFormat="1"/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166" fontId="2" fillId="0" borderId="38" xfId="0" applyNumberFormat="1" applyFont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29" fillId="0" borderId="38" xfId="0" applyNumberFormat="1" applyFont="1" applyBorder="1" applyAlignment="1">
      <alignment horizontal="right" vertical="center"/>
    </xf>
    <xf numFmtId="166" fontId="2" fillId="4" borderId="38" xfId="0" applyNumberFormat="1" applyFont="1" applyFill="1" applyBorder="1" applyAlignment="1">
      <alignment horizontal="right" vertical="center"/>
    </xf>
    <xf numFmtId="166" fontId="3" fillId="4" borderId="38" xfId="0" applyNumberFormat="1" applyFont="1" applyFill="1" applyBorder="1" applyAlignment="1">
      <alignment horizontal="right" vertical="center"/>
    </xf>
    <xf numFmtId="177" fontId="0" fillId="0" borderId="0" xfId="9" applyNumberFormat="1" applyFont="1" applyBorder="1"/>
    <xf numFmtId="0" fontId="37" fillId="0" borderId="7" xfId="0" applyFont="1" applyBorder="1"/>
    <xf numFmtId="165" fontId="0" fillId="0" borderId="0" xfId="9" applyFont="1" applyBorder="1"/>
    <xf numFmtId="177" fontId="0" fillId="0" borderId="0" xfId="1" applyNumberFormat="1" applyFont="1" applyBorder="1"/>
    <xf numFmtId="178" fontId="6" fillId="0" borderId="0" xfId="2" applyNumberFormat="1"/>
    <xf numFmtId="0" fontId="24" fillId="4" borderId="38" xfId="2" applyFont="1" applyFill="1" applyBorder="1"/>
    <xf numFmtId="0" fontId="24" fillId="4" borderId="38" xfId="2" applyFont="1" applyFill="1" applyBorder="1" applyAlignment="1">
      <alignment wrapText="1"/>
    </xf>
    <xf numFmtId="0" fontId="24" fillId="4" borderId="38" xfId="2" applyFont="1" applyFill="1" applyBorder="1" applyAlignment="1">
      <alignment horizontal="center" wrapText="1"/>
    </xf>
    <xf numFmtId="171" fontId="6" fillId="4" borderId="38" xfId="2" applyNumberFormat="1" applyFill="1" applyBorder="1" applyAlignment="1">
      <alignment wrapText="1"/>
    </xf>
    <xf numFmtId="172" fontId="6" fillId="4" borderId="0" xfId="2" applyNumberFormat="1" applyFill="1" applyAlignment="1">
      <alignment wrapText="1"/>
    </xf>
    <xf numFmtId="172" fontId="24" fillId="4" borderId="38" xfId="2" applyNumberFormat="1" applyFont="1" applyFill="1" applyBorder="1" applyAlignment="1">
      <alignment wrapText="1"/>
    </xf>
    <xf numFmtId="49" fontId="6" fillId="4" borderId="0" xfId="2" applyNumberFormat="1" applyFill="1" applyAlignment="1">
      <alignment horizontal="left" wrapText="1"/>
    </xf>
    <xf numFmtId="172" fontId="6" fillId="4" borderId="0" xfId="2" applyNumberFormat="1" applyFill="1" applyAlignment="1">
      <alignment horizontal="center" wrapText="1"/>
    </xf>
    <xf numFmtId="0" fontId="19" fillId="0" borderId="39" xfId="2" applyFont="1" applyBorder="1"/>
    <xf numFmtId="171" fontId="6" fillId="0" borderId="39" xfId="8" applyNumberFormat="1" applyFont="1" applyFill="1" applyBorder="1" applyAlignment="1">
      <alignment wrapText="1"/>
    </xf>
    <xf numFmtId="172" fontId="6" fillId="4" borderId="38" xfId="2" applyNumberFormat="1" applyFill="1" applyBorder="1" applyAlignment="1">
      <alignment horizontal="center"/>
    </xf>
    <xf numFmtId="173" fontId="6" fillId="4" borderId="39" xfId="8" applyFont="1" applyFill="1" applyBorder="1"/>
    <xf numFmtId="173" fontId="6" fillId="4" borderId="38" xfId="8" applyFont="1" applyFill="1" applyBorder="1" applyAlignment="1">
      <alignment shrinkToFit="1"/>
    </xf>
    <xf numFmtId="172" fontId="6" fillId="4" borderId="38" xfId="7" applyNumberFormat="1" applyFont="1" applyFill="1" applyBorder="1"/>
    <xf numFmtId="172" fontId="6" fillId="0" borderId="0" xfId="2" applyNumberFormat="1"/>
    <xf numFmtId="0" fontId="6" fillId="0" borderId="0" xfId="2" applyAlignment="1">
      <alignment horizontal="left"/>
    </xf>
    <xf numFmtId="49" fontId="6" fillId="4" borderId="39" xfId="2" quotePrefix="1" applyNumberFormat="1" applyFill="1" applyBorder="1" applyAlignment="1">
      <alignment horizontal="center"/>
    </xf>
    <xf numFmtId="171" fontId="6" fillId="0" borderId="39" xfId="8" applyNumberFormat="1" applyFont="1" applyFill="1" applyBorder="1"/>
    <xf numFmtId="49" fontId="6" fillId="4" borderId="39" xfId="2" applyNumberFormat="1" applyFill="1" applyBorder="1" applyAlignment="1">
      <alignment horizontal="center"/>
    </xf>
    <xf numFmtId="0" fontId="6" fillId="4" borderId="38" xfId="2" applyFill="1" applyBorder="1" applyAlignment="1">
      <alignment horizontal="left" vertical="top" wrapText="1"/>
    </xf>
    <xf numFmtId="0" fontId="6" fillId="4" borderId="39" xfId="2" applyFill="1" applyBorder="1" applyAlignment="1">
      <alignment horizontal="center"/>
    </xf>
    <xf numFmtId="171" fontId="6" fillId="0" borderId="39" xfId="2" applyNumberFormat="1" applyBorder="1"/>
    <xf numFmtId="14" fontId="6" fillId="4" borderId="38" xfId="2" applyNumberFormat="1" applyFill="1" applyBorder="1" applyAlignment="1">
      <alignment horizontal="center"/>
    </xf>
    <xf numFmtId="175" fontId="6" fillId="0" borderId="39" xfId="2" applyNumberFormat="1" applyBorder="1"/>
    <xf numFmtId="0" fontId="6" fillId="0" borderId="39" xfId="2" applyBorder="1" applyAlignment="1">
      <alignment horizontal="center"/>
    </xf>
    <xf numFmtId="173" fontId="6" fillId="0" borderId="39" xfId="8" applyFont="1" applyFill="1" applyBorder="1"/>
    <xf numFmtId="174" fontId="6" fillId="4" borderId="38" xfId="2" applyNumberFormat="1" applyFill="1" applyBorder="1" applyAlignment="1">
      <alignment horizontal="center" vertical="center"/>
    </xf>
    <xf numFmtId="0" fontId="6" fillId="4" borderId="42" xfId="2" applyFill="1" applyBorder="1" applyAlignment="1">
      <alignment horizontal="left" vertical="top" wrapText="1"/>
    </xf>
    <xf numFmtId="0" fontId="6" fillId="4" borderId="42" xfId="2" applyFill="1" applyBorder="1" applyAlignment="1">
      <alignment horizontal="left"/>
    </xf>
    <xf numFmtId="0" fontId="6" fillId="4" borderId="42" xfId="2" applyFill="1" applyBorder="1" applyAlignment="1">
      <alignment horizontal="center"/>
    </xf>
    <xf numFmtId="0" fontId="19" fillId="4" borderId="42" xfId="2" applyFont="1" applyFill="1" applyBorder="1" applyAlignment="1">
      <alignment horizontal="left" vertical="top" shrinkToFit="1"/>
    </xf>
    <xf numFmtId="172" fontId="6" fillId="0" borderId="38" xfId="2" applyNumberFormat="1" applyBorder="1"/>
    <xf numFmtId="172" fontId="6" fillId="4" borderId="42" xfId="8" applyNumberFormat="1" applyFont="1" applyFill="1" applyBorder="1"/>
    <xf numFmtId="172" fontId="6" fillId="4" borderId="42" xfId="2" applyNumberFormat="1" applyFill="1" applyBorder="1" applyAlignment="1">
      <alignment horizontal="center"/>
    </xf>
    <xf numFmtId="173" fontId="6" fillId="4" borderId="38" xfId="2" applyNumberFormat="1" applyFill="1" applyBorder="1"/>
    <xf numFmtId="0" fontId="19" fillId="0" borderId="38" xfId="2" applyFont="1" applyBorder="1" applyAlignment="1">
      <alignment horizontal="left" vertical="top" shrinkToFit="1"/>
    </xf>
    <xf numFmtId="49" fontId="6" fillId="4" borderId="39" xfId="2" applyNumberFormat="1" applyFill="1" applyBorder="1" applyAlignment="1">
      <alignment horizontal="left"/>
    </xf>
    <xf numFmtId="172" fontId="6" fillId="4" borderId="38" xfId="2" applyNumberFormat="1" applyFill="1" applyBorder="1"/>
    <xf numFmtId="0" fontId="6" fillId="3" borderId="39" xfId="2" applyFill="1" applyBorder="1" applyAlignment="1">
      <alignment horizontal="center"/>
    </xf>
    <xf numFmtId="173" fontId="6" fillId="4" borderId="39" xfId="2" applyNumberFormat="1" applyFill="1" applyBorder="1"/>
    <xf numFmtId="0" fontId="6" fillId="4" borderId="39" xfId="2" applyFill="1" applyBorder="1"/>
    <xf numFmtId="0" fontId="6" fillId="0" borderId="39" xfId="2" applyBorder="1"/>
    <xf numFmtId="171" fontId="6" fillId="0" borderId="39" xfId="8" applyNumberFormat="1" applyFont="1" applyFill="1" applyBorder="1" applyAlignment="1">
      <alignment horizontal="center"/>
    </xf>
    <xf numFmtId="173" fontId="32" fillId="4" borderId="39" xfId="2" applyNumberFormat="1" applyFont="1" applyFill="1" applyBorder="1"/>
    <xf numFmtId="0" fontId="6" fillId="4" borderId="30" xfId="2" applyFill="1" applyBorder="1" applyAlignment="1">
      <alignment horizontal="center" vertical="top" wrapText="1"/>
    </xf>
    <xf numFmtId="173" fontId="32" fillId="0" borderId="39" xfId="2" applyNumberFormat="1" applyFont="1" applyBorder="1"/>
    <xf numFmtId="0" fontId="6" fillId="0" borderId="38" xfId="2" applyBorder="1" applyAlignment="1">
      <alignment horizontal="center" vertical="top" wrapText="1"/>
    </xf>
    <xf numFmtId="171" fontId="6" fillId="4" borderId="39" xfId="8" applyNumberFormat="1" applyFont="1" applyFill="1" applyBorder="1" applyAlignment="1"/>
    <xf numFmtId="171" fontId="19" fillId="4" borderId="39" xfId="8" applyNumberFormat="1" applyFont="1" applyFill="1" applyBorder="1" applyAlignment="1">
      <alignment horizontal="left"/>
    </xf>
    <xf numFmtId="172" fontId="6" fillId="4" borderId="0" xfId="2" applyNumberFormat="1" applyFill="1"/>
    <xf numFmtId="0" fontId="6" fillId="4" borderId="38" xfId="2" applyFill="1" applyBorder="1" applyAlignment="1">
      <alignment horizontal="center" vertical="top" wrapText="1"/>
    </xf>
    <xf numFmtId="173" fontId="32" fillId="4" borderId="39" xfId="9" applyNumberFormat="1" applyFont="1" applyFill="1" applyBorder="1"/>
    <xf numFmtId="0" fontId="6" fillId="4" borderId="38" xfId="2" applyFill="1" applyBorder="1" applyAlignment="1">
      <alignment vertical="top" wrapText="1"/>
    </xf>
    <xf numFmtId="0" fontId="19" fillId="4" borderId="38" xfId="2" applyFont="1" applyFill="1" applyBorder="1" applyAlignment="1">
      <alignment horizontal="left" wrapText="1"/>
    </xf>
    <xf numFmtId="0" fontId="6" fillId="4" borderId="42" xfId="2" applyFill="1" applyBorder="1" applyAlignment="1">
      <alignment horizontal="center" vertical="top" wrapText="1"/>
    </xf>
    <xf numFmtId="0" fontId="19" fillId="4" borderId="42" xfId="2" applyFont="1" applyFill="1" applyBorder="1" applyAlignment="1">
      <alignment horizontal="left"/>
    </xf>
    <xf numFmtId="175" fontId="6" fillId="0" borderId="38" xfId="2" applyNumberFormat="1" applyBorder="1"/>
    <xf numFmtId="172" fontId="6" fillId="4" borderId="42" xfId="2" applyNumberFormat="1" applyFill="1" applyBorder="1"/>
    <xf numFmtId="171" fontId="6" fillId="4" borderId="38" xfId="2" applyNumberFormat="1" applyFill="1" applyBorder="1"/>
    <xf numFmtId="172" fontId="6" fillId="4" borderId="39" xfId="2" applyNumberFormat="1" applyFill="1" applyBorder="1"/>
    <xf numFmtId="49" fontId="6" fillId="4" borderId="0" xfId="2" applyNumberFormat="1" applyFill="1" applyAlignment="1">
      <alignment horizontal="left"/>
    </xf>
    <xf numFmtId="172" fontId="6" fillId="4" borderId="0" xfId="2" applyNumberFormat="1" applyFill="1" applyAlignment="1">
      <alignment horizontal="center"/>
    </xf>
    <xf numFmtId="172" fontId="6" fillId="4" borderId="38" xfId="7" applyNumberFormat="1" applyFont="1" applyFill="1" applyBorder="1" applyAlignment="1">
      <alignment horizontal="left"/>
    </xf>
    <xf numFmtId="0" fontId="0" fillId="0" borderId="39" xfId="0" applyBorder="1"/>
    <xf numFmtId="0" fontId="6" fillId="4" borderId="43" xfId="2" applyFill="1" applyBorder="1" applyAlignment="1">
      <alignment horizontal="left"/>
    </xf>
    <xf numFmtId="0" fontId="6" fillId="4" borderId="43" xfId="2" applyFill="1" applyBorder="1"/>
    <xf numFmtId="0" fontId="6" fillId="4" borderId="43" xfId="2" applyFill="1" applyBorder="1" applyAlignment="1">
      <alignment horizontal="center"/>
    </xf>
    <xf numFmtId="0" fontId="19" fillId="4" borderId="43" xfId="2" applyFont="1" applyFill="1" applyBorder="1" applyAlignment="1">
      <alignment horizontal="left"/>
    </xf>
    <xf numFmtId="176" fontId="0" fillId="4" borderId="43" xfId="7" applyNumberFormat="1" applyFont="1" applyFill="1" applyBorder="1"/>
    <xf numFmtId="172" fontId="6" fillId="4" borderId="43" xfId="2" applyNumberFormat="1" applyFill="1" applyBorder="1" applyAlignment="1">
      <alignment horizontal="center"/>
    </xf>
    <xf numFmtId="172" fontId="6" fillId="4" borderId="43" xfId="2" applyNumberFormat="1" applyFill="1" applyBorder="1"/>
    <xf numFmtId="0" fontId="6" fillId="4" borderId="37" xfId="2" applyFill="1" applyBorder="1" applyAlignment="1">
      <alignment horizontal="left"/>
    </xf>
    <xf numFmtId="0" fontId="6" fillId="4" borderId="37" xfId="2" applyFill="1" applyBorder="1"/>
    <xf numFmtId="0" fontId="6" fillId="4" borderId="37" xfId="2" applyFill="1" applyBorder="1" applyAlignment="1">
      <alignment horizontal="center"/>
    </xf>
    <xf numFmtId="0" fontId="19" fillId="4" borderId="37" xfId="2" applyFont="1" applyFill="1" applyBorder="1" applyAlignment="1">
      <alignment horizontal="left"/>
    </xf>
    <xf numFmtId="176" fontId="0" fillId="4" borderId="37" xfId="7" applyNumberFormat="1" applyFont="1" applyFill="1" applyBorder="1"/>
    <xf numFmtId="172" fontId="6" fillId="4" borderId="37" xfId="2" applyNumberFormat="1" applyFill="1" applyBorder="1" applyAlignment="1">
      <alignment horizontal="center"/>
    </xf>
    <xf numFmtId="172" fontId="6" fillId="4" borderId="37" xfId="2" applyNumberFormat="1" applyFill="1" applyBorder="1"/>
    <xf numFmtId="0" fontId="6" fillId="4" borderId="43" xfId="2" applyFill="1" applyBorder="1" applyAlignment="1">
      <alignment shrinkToFit="1"/>
    </xf>
    <xf numFmtId="172" fontId="6" fillId="4" borderId="37" xfId="2" applyNumberFormat="1" applyFill="1" applyBorder="1" applyAlignment="1">
      <alignment horizontal="left"/>
    </xf>
    <xf numFmtId="0" fontId="19" fillId="4" borderId="38" xfId="2" applyFont="1" applyFill="1" applyBorder="1" applyAlignment="1">
      <alignment horizontal="left" shrinkToFit="1"/>
    </xf>
    <xf numFmtId="0" fontId="6" fillId="4" borderId="42" xfId="2" applyFill="1" applyBorder="1" applyAlignment="1">
      <alignment horizontal="left" shrinkToFit="1"/>
    </xf>
    <xf numFmtId="176" fontId="0" fillId="4" borderId="42" xfId="7" applyNumberFormat="1" applyFont="1" applyFill="1" applyBorder="1"/>
    <xf numFmtId="172" fontId="6" fillId="4" borderId="42" xfId="2" applyNumberFormat="1" applyFill="1" applyBorder="1" applyAlignment="1">
      <alignment horizontal="left"/>
    </xf>
    <xf numFmtId="0" fontId="6" fillId="4" borderId="38" xfId="2" applyFill="1" applyBorder="1" applyAlignment="1">
      <alignment shrinkToFit="1"/>
    </xf>
    <xf numFmtId="172" fontId="6" fillId="4" borderId="38" xfId="2" applyNumberFormat="1" applyFill="1" applyBorder="1" applyAlignment="1">
      <alignment shrinkToFit="1"/>
    </xf>
    <xf numFmtId="0" fontId="6" fillId="4" borderId="43" xfId="2" applyFill="1" applyBorder="1" applyAlignment="1">
      <alignment horizontal="left" shrinkToFit="1"/>
    </xf>
    <xf numFmtId="172" fontId="6" fillId="4" borderId="43" xfId="2" applyNumberFormat="1" applyFill="1" applyBorder="1" applyAlignment="1">
      <alignment horizontal="left"/>
    </xf>
    <xf numFmtId="0" fontId="6" fillId="4" borderId="37" xfId="2" applyFill="1" applyBorder="1" applyAlignment="1">
      <alignment horizontal="left" shrinkToFit="1"/>
    </xf>
    <xf numFmtId="172" fontId="6" fillId="4" borderId="38" xfId="2" applyNumberFormat="1" applyFill="1" applyBorder="1" applyAlignment="1">
      <alignment horizontal="left"/>
    </xf>
    <xf numFmtId="0" fontId="0" fillId="4" borderId="43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6" fillId="4" borderId="38" xfId="2" applyFill="1" applyBorder="1" applyAlignment="1">
      <alignment horizontal="left" shrinkToFit="1"/>
    </xf>
    <xf numFmtId="165" fontId="0" fillId="4" borderId="37" xfId="7" applyFont="1" applyFill="1" applyBorder="1"/>
    <xf numFmtId="0" fontId="39" fillId="4" borderId="38" xfId="0" applyFont="1" applyFill="1" applyBorder="1" applyAlignment="1">
      <alignment wrapText="1"/>
    </xf>
    <xf numFmtId="0" fontId="34" fillId="4" borderId="42" xfId="0" applyFont="1" applyFill="1" applyBorder="1" applyAlignment="1">
      <alignment vertical="center"/>
    </xf>
    <xf numFmtId="0" fontId="40" fillId="4" borderId="38" xfId="0" applyFont="1" applyFill="1" applyBorder="1" applyAlignment="1">
      <alignment vertical="center"/>
    </xf>
    <xf numFmtId="0" fontId="34" fillId="4" borderId="43" xfId="0" applyFont="1" applyFill="1" applyBorder="1" applyAlignment="1">
      <alignment vertical="center" wrapText="1"/>
    </xf>
    <xf numFmtId="0" fontId="33" fillId="4" borderId="37" xfId="0" applyFont="1" applyFill="1" applyBorder="1" applyAlignment="1">
      <alignment wrapText="1"/>
    </xf>
    <xf numFmtId="43" fontId="0" fillId="0" borderId="0" xfId="1" applyFont="1" applyBorder="1"/>
    <xf numFmtId="0" fontId="41" fillId="4" borderId="38" xfId="0" applyFont="1" applyFill="1" applyBorder="1" applyAlignment="1">
      <alignment horizontal="center"/>
    </xf>
    <xf numFmtId="176" fontId="41" fillId="4" borderId="38" xfId="7" applyNumberFormat="1" applyFont="1" applyFill="1" applyBorder="1"/>
    <xf numFmtId="0" fontId="42" fillId="4" borderId="38" xfId="0" applyFont="1" applyFill="1" applyBorder="1"/>
    <xf numFmtId="0" fontId="0" fillId="0" borderId="43" xfId="0" applyBorder="1"/>
    <xf numFmtId="43" fontId="1" fillId="0" borderId="0" xfId="1" applyFont="1" applyBorder="1"/>
    <xf numFmtId="0" fontId="2" fillId="4" borderId="38" xfId="0" applyFont="1" applyFill="1" applyBorder="1" applyAlignment="1">
      <alignment vertical="center" wrapText="1"/>
    </xf>
    <xf numFmtId="0" fontId="6" fillId="4" borderId="39" xfId="2" applyFill="1" applyBorder="1" applyAlignment="1">
      <alignment horizontal="left" shrinkToFit="1"/>
    </xf>
    <xf numFmtId="0" fontId="6" fillId="4" borderId="40" xfId="2" applyFill="1" applyBorder="1" applyAlignment="1">
      <alignment horizontal="left" shrinkToFit="1"/>
    </xf>
    <xf numFmtId="176" fontId="0" fillId="4" borderId="38" xfId="0" applyNumberFormat="1" applyFill="1" applyBorder="1"/>
    <xf numFmtId="172" fontId="41" fillId="4" borderId="38" xfId="7" applyNumberFormat="1" applyFont="1" applyFill="1" applyBorder="1"/>
    <xf numFmtId="172" fontId="41" fillId="4" borderId="38" xfId="7" applyNumberFormat="1" applyFont="1" applyFill="1" applyBorder="1" applyAlignment="1"/>
    <xf numFmtId="0" fontId="6" fillId="4" borderId="41" xfId="2" applyFill="1" applyBorder="1" applyAlignment="1">
      <alignment horizontal="left" shrinkToFit="1"/>
    </xf>
    <xf numFmtId="0" fontId="41" fillId="0" borderId="39" xfId="0" applyFont="1" applyBorder="1" applyAlignment="1">
      <alignment horizontal="center"/>
    </xf>
    <xf numFmtId="165" fontId="41" fillId="4" borderId="38" xfId="7" applyFont="1" applyFill="1" applyBorder="1"/>
    <xf numFmtId="0" fontId="6" fillId="4" borderId="39" xfId="2" applyFill="1" applyBorder="1" applyAlignment="1">
      <alignment horizontal="left"/>
    </xf>
    <xf numFmtId="0" fontId="41" fillId="0" borderId="38" xfId="0" applyFont="1" applyBorder="1"/>
    <xf numFmtId="172" fontId="6" fillId="4" borderId="38" xfId="7" applyNumberFormat="1" applyFont="1" applyFill="1" applyBorder="1" applyAlignment="1">
      <alignment shrinkToFit="1"/>
    </xf>
    <xf numFmtId="176" fontId="41" fillId="4" borderId="39" xfId="7" applyNumberFormat="1" applyFont="1" applyFill="1" applyBorder="1"/>
    <xf numFmtId="0" fontId="41" fillId="0" borderId="38" xfId="0" applyFont="1" applyBorder="1" applyAlignment="1">
      <alignment horizontal="center"/>
    </xf>
    <xf numFmtId="165" fontId="41" fillId="14" borderId="38" xfId="7" applyFont="1" applyFill="1" applyBorder="1"/>
    <xf numFmtId="0" fontId="42" fillId="4" borderId="38" xfId="0" applyFont="1" applyFill="1" applyBorder="1" applyAlignment="1">
      <alignment wrapText="1"/>
    </xf>
    <xf numFmtId="0" fontId="41" fillId="4" borderId="38" xfId="0" applyFont="1" applyFill="1" applyBorder="1"/>
    <xf numFmtId="0" fontId="43" fillId="4" borderId="38" xfId="0" applyFont="1" applyFill="1" applyBorder="1"/>
    <xf numFmtId="172" fontId="43" fillId="4" borderId="38" xfId="0" applyNumberFormat="1" applyFont="1" applyFill="1" applyBorder="1"/>
    <xf numFmtId="179" fontId="0" fillId="0" borderId="0" xfId="0" applyNumberFormat="1"/>
    <xf numFmtId="0" fontId="0" fillId="0" borderId="0" xfId="0" applyAlignment="1">
      <alignment horizontal="center"/>
    </xf>
    <xf numFmtId="172" fontId="41" fillId="4" borderId="0" xfId="0" applyNumberFormat="1" applyFont="1" applyFill="1"/>
    <xf numFmtId="0" fontId="2" fillId="0" borderId="7" xfId="2" applyFont="1" applyBorder="1"/>
    <xf numFmtId="0" fontId="2" fillId="0" borderId="0" xfId="2" applyFont="1"/>
    <xf numFmtId="0" fontId="37" fillId="0" borderId="0" xfId="0" applyFont="1"/>
    <xf numFmtId="166" fontId="44" fillId="4" borderId="38" xfId="0" applyNumberFormat="1" applyFont="1" applyFill="1" applyBorder="1" applyAlignment="1">
      <alignment horizontal="right" vertical="center"/>
    </xf>
    <xf numFmtId="166" fontId="44" fillId="4" borderId="40" xfId="0" applyNumberFormat="1" applyFont="1" applyFill="1" applyBorder="1" applyAlignment="1">
      <alignment horizontal="right" vertical="center"/>
    </xf>
    <xf numFmtId="4" fontId="29" fillId="4" borderId="39" xfId="0" applyNumberFormat="1" applyFont="1" applyFill="1" applyBorder="1" applyAlignment="1">
      <alignment horizontal="right" vertical="center"/>
    </xf>
    <xf numFmtId="180" fontId="0" fillId="0" borderId="0" xfId="1" applyNumberFormat="1" applyFont="1" applyBorder="1"/>
    <xf numFmtId="180" fontId="41" fillId="4" borderId="0" xfId="9" applyNumberFormat="1" applyFont="1" applyFill="1" applyBorder="1"/>
    <xf numFmtId="180" fontId="0" fillId="0" borderId="0" xfId="9" applyNumberFormat="1" applyFont="1" applyBorder="1"/>
    <xf numFmtId="0" fontId="31" fillId="4" borderId="38" xfId="2" applyFont="1" applyFill="1" applyBorder="1" applyAlignment="1">
      <alignment horizontal="center"/>
    </xf>
    <xf numFmtId="0" fontId="31" fillId="0" borderId="0" xfId="2" applyFont="1" applyAlignment="1">
      <alignment horizontal="center"/>
    </xf>
    <xf numFmtId="0" fontId="6" fillId="13" borderId="38" xfId="2" applyFill="1" applyBorder="1" applyAlignment="1">
      <alignment horizontal="center" vertical="top" wrapText="1"/>
    </xf>
    <xf numFmtId="0" fontId="43" fillId="4" borderId="38" xfId="0" applyFont="1" applyFill="1" applyBorder="1" applyAlignment="1">
      <alignment horizontal="center"/>
    </xf>
    <xf numFmtId="0" fontId="6" fillId="0" borderId="0" xfId="2" applyAlignment="1">
      <alignment horizontal="center"/>
    </xf>
    <xf numFmtId="0" fontId="26" fillId="0" borderId="0" xfId="2" applyFont="1" applyAlignment="1">
      <alignment horizontal="center"/>
    </xf>
    <xf numFmtId="0" fontId="6" fillId="0" borderId="7" xfId="2" applyBorder="1" applyAlignment="1">
      <alignment horizontal="center"/>
    </xf>
    <xf numFmtId="0" fontId="6" fillId="0" borderId="0" xfId="2" applyAlignment="1">
      <alignment horizontal="left" wrapText="1"/>
    </xf>
    <xf numFmtId="0" fontId="20" fillId="0" borderId="0" xfId="2" applyFont="1" applyAlignment="1" applyProtection="1">
      <alignment horizontal="center" vertical="top" wrapText="1" readingOrder="1"/>
      <protection locked="0"/>
    </xf>
    <xf numFmtId="0" fontId="6" fillId="0" borderId="0" xfId="2"/>
    <xf numFmtId="0" fontId="8" fillId="0" borderId="0" xfId="2" applyFont="1" applyAlignment="1" applyProtection="1">
      <alignment horizontal="center" vertical="top" wrapText="1" readingOrder="1"/>
      <protection locked="0"/>
    </xf>
    <xf numFmtId="0" fontId="20" fillId="0" borderId="8" xfId="2" applyFont="1" applyBorder="1" applyAlignment="1" applyProtection="1">
      <alignment horizontal="center" vertical="center" wrapText="1" readingOrder="1"/>
      <protection locked="0"/>
    </xf>
    <xf numFmtId="0" fontId="6" fillId="0" borderId="9" xfId="2" applyBorder="1" applyAlignment="1" applyProtection="1">
      <alignment vertical="top" wrapText="1"/>
      <protection locked="0"/>
    </xf>
    <xf numFmtId="0" fontId="6" fillId="0" borderId="13" xfId="2" applyBorder="1" applyAlignment="1" applyProtection="1">
      <alignment vertical="top" wrapText="1"/>
      <protection locked="0"/>
    </xf>
    <xf numFmtId="0" fontId="6" fillId="0" borderId="14" xfId="2" applyBorder="1" applyAlignment="1" applyProtection="1">
      <alignment vertical="top" wrapText="1"/>
      <protection locked="0"/>
    </xf>
    <xf numFmtId="0" fontId="21" fillId="10" borderId="10" xfId="2" applyFont="1" applyFill="1" applyBorder="1" applyAlignment="1" applyProtection="1">
      <alignment horizontal="center" vertical="top" wrapText="1" readingOrder="1"/>
      <protection locked="0"/>
    </xf>
    <xf numFmtId="0" fontId="6" fillId="0" borderId="11" xfId="2" applyBorder="1" applyAlignment="1" applyProtection="1">
      <alignment vertical="top" wrapText="1"/>
      <protection locked="0"/>
    </xf>
    <xf numFmtId="0" fontId="6" fillId="0" borderId="12" xfId="2" applyBorder="1" applyAlignment="1" applyProtection="1">
      <alignment vertical="top" wrapText="1"/>
      <protection locked="0"/>
    </xf>
    <xf numFmtId="0" fontId="22" fillId="8" borderId="15" xfId="2" applyFont="1" applyFill="1" applyBorder="1" applyAlignment="1" applyProtection="1">
      <alignment horizontal="center" vertical="top" wrapText="1" readingOrder="1"/>
      <protection locked="0"/>
    </xf>
    <xf numFmtId="0" fontId="6" fillId="0" borderId="16" xfId="2" applyBorder="1" applyAlignment="1" applyProtection="1">
      <alignment vertical="top" wrapText="1"/>
      <protection locked="0"/>
    </xf>
    <xf numFmtId="0" fontId="23" fillId="0" borderId="17" xfId="2" applyFont="1" applyBorder="1" applyAlignment="1" applyProtection="1">
      <alignment vertical="top" wrapText="1" readingOrder="1"/>
      <protection locked="0"/>
    </xf>
    <xf numFmtId="0" fontId="6" fillId="0" borderId="18" xfId="2" applyBorder="1" applyAlignment="1" applyProtection="1">
      <alignment vertical="top" wrapText="1"/>
      <protection locked="0"/>
    </xf>
    <xf numFmtId="167" fontId="19" fillId="0" borderId="19" xfId="2" applyNumberFormat="1" applyFont="1" applyBorder="1" applyAlignment="1" applyProtection="1">
      <alignment horizontal="right" vertical="top" wrapText="1" readingOrder="1"/>
      <protection locked="0"/>
    </xf>
    <xf numFmtId="0" fontId="6" fillId="0" borderId="20" xfId="2" applyBorder="1" applyAlignment="1" applyProtection="1">
      <alignment vertical="top" wrapText="1"/>
      <protection locked="0"/>
    </xf>
    <xf numFmtId="167" fontId="19" fillId="4" borderId="19" xfId="2" applyNumberFormat="1" applyFont="1" applyFill="1" applyBorder="1" applyAlignment="1" applyProtection="1">
      <alignment horizontal="right" vertical="top" wrapText="1" readingOrder="1"/>
      <protection locked="0"/>
    </xf>
    <xf numFmtId="0" fontId="6" fillId="4" borderId="20" xfId="2" applyFill="1" applyBorder="1" applyAlignment="1" applyProtection="1">
      <alignment vertical="top" wrapText="1"/>
      <protection locked="0"/>
    </xf>
    <xf numFmtId="0" fontId="24" fillId="6" borderId="17" xfId="2" applyFont="1" applyFill="1" applyBorder="1" applyAlignment="1" applyProtection="1">
      <alignment vertical="top" wrapText="1" readingOrder="1"/>
      <protection locked="0"/>
    </xf>
    <xf numFmtId="167" fontId="24" fillId="6" borderId="10" xfId="2" applyNumberFormat="1" applyFont="1" applyFill="1" applyBorder="1" applyAlignment="1" applyProtection="1">
      <alignment horizontal="right" vertical="top" wrapText="1" readingOrder="1"/>
      <protection locked="0"/>
    </xf>
    <xf numFmtId="167" fontId="19" fillId="4" borderId="21" xfId="2" applyNumberFormat="1" applyFont="1" applyFill="1" applyBorder="1" applyAlignment="1" applyProtection="1">
      <alignment horizontal="right" vertical="top" wrapText="1" readingOrder="1"/>
      <protection locked="0"/>
    </xf>
    <xf numFmtId="167" fontId="19" fillId="4" borderId="20" xfId="2" applyNumberFormat="1" applyFont="1" applyFill="1" applyBorder="1" applyAlignment="1" applyProtection="1">
      <alignment horizontal="right" vertical="top" wrapText="1" readingOrder="1"/>
      <protection locked="0"/>
    </xf>
    <xf numFmtId="0" fontId="23" fillId="0" borderId="17" xfId="2" applyFont="1" applyBorder="1" applyAlignment="1" applyProtection="1">
      <alignment horizontal="left" vertical="top" wrapText="1" readingOrder="1"/>
      <protection locked="0"/>
    </xf>
    <xf numFmtId="0" fontId="6" fillId="0" borderId="18" xfId="2" applyBorder="1" applyAlignment="1" applyProtection="1">
      <alignment horizontal="left" vertical="top" wrapText="1" readingOrder="1"/>
      <protection locked="0"/>
    </xf>
    <xf numFmtId="0" fontId="24" fillId="10" borderId="22" xfId="2" applyFont="1" applyFill="1" applyBorder="1" applyAlignment="1" applyProtection="1">
      <alignment vertical="top" wrapText="1" readingOrder="1"/>
      <protection locked="0"/>
    </xf>
    <xf numFmtId="0" fontId="6" fillId="0" borderId="23" xfId="2" applyBorder="1" applyAlignment="1" applyProtection="1">
      <alignment vertical="top" wrapText="1"/>
      <protection locked="0"/>
    </xf>
    <xf numFmtId="167" fontId="24" fillId="10" borderId="10" xfId="2" applyNumberFormat="1" applyFont="1" applyFill="1" applyBorder="1" applyAlignment="1" applyProtection="1">
      <alignment horizontal="right" vertical="top" wrapText="1" readingOrder="1"/>
      <protection locked="0"/>
    </xf>
    <xf numFmtId="0" fontId="25" fillId="11" borderId="10" xfId="2" applyFont="1" applyFill="1" applyBorder="1" applyAlignment="1" applyProtection="1">
      <alignment horizontal="center" vertical="top" wrapText="1" readingOrder="1"/>
      <protection locked="0"/>
    </xf>
    <xf numFmtId="0" fontId="6" fillId="4" borderId="11" xfId="2" applyFill="1" applyBorder="1" applyAlignment="1" applyProtection="1">
      <alignment vertical="top" wrapText="1"/>
      <protection locked="0"/>
    </xf>
    <xf numFmtId="0" fontId="6" fillId="4" borderId="12" xfId="2" applyFill="1" applyBorder="1" applyAlignment="1" applyProtection="1">
      <alignment vertical="top" wrapText="1"/>
      <protection locked="0"/>
    </xf>
    <xf numFmtId="0" fontId="26" fillId="0" borderId="8" xfId="2" applyFont="1" applyBorder="1" applyAlignment="1" applyProtection="1">
      <alignment horizontal="center" vertical="center" wrapText="1" readingOrder="1"/>
      <protection locked="0"/>
    </xf>
    <xf numFmtId="0" fontId="25" fillId="10" borderId="10" xfId="2" applyFont="1" applyFill="1" applyBorder="1" applyAlignment="1" applyProtection="1">
      <alignment horizontal="center" vertical="top" wrapText="1" readingOrder="1"/>
      <protection locked="0"/>
    </xf>
    <xf numFmtId="0" fontId="18" fillId="8" borderId="15" xfId="2" applyFont="1" applyFill="1" applyBorder="1" applyAlignment="1" applyProtection="1">
      <alignment horizontal="center" vertical="top" wrapText="1" readingOrder="1"/>
      <protection locked="0"/>
    </xf>
    <xf numFmtId="0" fontId="18" fillId="12" borderId="15" xfId="2" applyFont="1" applyFill="1" applyBorder="1" applyAlignment="1" applyProtection="1">
      <alignment horizontal="center" vertical="top" wrapText="1" readingOrder="1"/>
      <protection locked="0"/>
    </xf>
    <xf numFmtId="0" fontId="6" fillId="3" borderId="16" xfId="2" applyFill="1" applyBorder="1" applyAlignment="1" applyProtection="1">
      <alignment vertical="top" wrapText="1"/>
      <protection locked="0"/>
    </xf>
    <xf numFmtId="0" fontId="24" fillId="9" borderId="22" xfId="2" applyFont="1" applyFill="1" applyBorder="1" applyAlignment="1" applyProtection="1">
      <alignment vertical="top" wrapText="1" readingOrder="1"/>
      <protection locked="0"/>
    </xf>
    <xf numFmtId="4" fontId="24" fillId="9" borderId="22" xfId="2" applyNumberFormat="1" applyFont="1" applyFill="1" applyBorder="1" applyAlignment="1" applyProtection="1">
      <alignment horizontal="right" vertical="top" wrapText="1" readingOrder="1"/>
      <protection locked="0"/>
    </xf>
    <xf numFmtId="167" fontId="24" fillId="9" borderId="22" xfId="2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8" xfId="2" applyBorder="1" applyAlignment="1" applyProtection="1">
      <alignment horizontal="center" vertical="top" wrapText="1" readingOrder="1"/>
      <protection locked="0"/>
    </xf>
    <xf numFmtId="0" fontId="26" fillId="0" borderId="24" xfId="2" applyFont="1" applyBorder="1" applyAlignment="1" applyProtection="1">
      <alignment horizontal="center" vertical="top" wrapText="1" readingOrder="1"/>
      <protection locked="0"/>
    </xf>
    <xf numFmtId="0" fontId="6" fillId="0" borderId="25" xfId="2" applyBorder="1" applyAlignment="1" applyProtection="1">
      <alignment vertical="top" wrapText="1"/>
      <protection locked="0"/>
    </xf>
    <xf numFmtId="0" fontId="6" fillId="3" borderId="26" xfId="2" applyFill="1" applyBorder="1" applyAlignment="1" applyProtection="1">
      <alignment vertical="top" wrapText="1"/>
      <protection locked="0"/>
    </xf>
    <xf numFmtId="0" fontId="27" fillId="9" borderId="22" xfId="2" applyFont="1" applyFill="1" applyBorder="1" applyAlignment="1" applyProtection="1">
      <alignment horizontal="right" vertical="top" wrapText="1" readingOrder="1"/>
      <protection locked="0"/>
    </xf>
    <xf numFmtId="0" fontId="24" fillId="6" borderId="27" xfId="2" applyFont="1" applyFill="1" applyBorder="1" applyAlignment="1" applyProtection="1">
      <alignment horizontal="right" vertical="top" wrapText="1" readingOrder="1"/>
      <protection locked="0"/>
    </xf>
    <xf numFmtId="0" fontId="6" fillId="0" borderId="28" xfId="2" applyBorder="1" applyAlignment="1" applyProtection="1">
      <alignment vertical="top" wrapText="1"/>
      <protection locked="0"/>
    </xf>
    <xf numFmtId="167" fontId="19" fillId="6" borderId="27" xfId="2" applyNumberFormat="1" applyFont="1" applyFill="1" applyBorder="1" applyAlignment="1" applyProtection="1">
      <alignment horizontal="right" vertical="top" wrapText="1" readingOrder="1"/>
      <protection locked="0"/>
    </xf>
    <xf numFmtId="0" fontId="24" fillId="10" borderId="27" xfId="2" applyFont="1" applyFill="1" applyBorder="1" applyAlignment="1" applyProtection="1">
      <alignment horizontal="right" vertical="top" wrapText="1" readingOrder="1"/>
      <protection locked="0"/>
    </xf>
    <xf numFmtId="167" fontId="19" fillId="10" borderId="27" xfId="2" applyNumberFormat="1" applyFont="1" applyFill="1" applyBorder="1" applyAlignment="1" applyProtection="1">
      <alignment horizontal="right" vertical="top" wrapText="1" readingOrder="1"/>
      <protection locked="0"/>
    </xf>
    <xf numFmtId="0" fontId="7" fillId="0" borderId="0" xfId="2" applyFont="1" applyAlignment="1" applyProtection="1">
      <alignment horizontal="center" vertical="top" wrapText="1" readingOrder="1"/>
      <protection locked="0"/>
    </xf>
    <xf numFmtId="0" fontId="9" fillId="0" borderId="0" xfId="2" applyFont="1" applyAlignment="1" applyProtection="1">
      <alignment vertical="center" wrapText="1" readingOrder="1"/>
      <protection locked="0"/>
    </xf>
    <xf numFmtId="0" fontId="10" fillId="5" borderId="4" xfId="2" applyFont="1" applyFill="1" applyBorder="1" applyAlignment="1" applyProtection="1">
      <alignment vertical="center" wrapText="1" readingOrder="1"/>
      <protection locked="0"/>
    </xf>
    <xf numFmtId="0" fontId="6" fillId="0" borderId="5" xfId="2" applyBorder="1" applyAlignment="1" applyProtection="1">
      <alignment vertical="top" wrapText="1"/>
      <protection locked="0"/>
    </xf>
    <xf numFmtId="0" fontId="10" fillId="5" borderId="4" xfId="2" applyFont="1" applyFill="1" applyBorder="1" applyAlignment="1" applyProtection="1">
      <alignment horizontal="center" vertical="center" wrapText="1" readingOrder="1"/>
      <protection locked="0"/>
    </xf>
    <xf numFmtId="0" fontId="6" fillId="0" borderId="6" xfId="2" applyBorder="1" applyAlignment="1" applyProtection="1">
      <alignment vertical="top" wrapText="1"/>
      <protection locked="0"/>
    </xf>
    <xf numFmtId="0" fontId="13" fillId="0" borderId="4" xfId="2" applyFont="1" applyBorder="1" applyAlignment="1" applyProtection="1">
      <alignment horizontal="right" vertical="center" wrapText="1" readingOrder="1"/>
      <protection locked="0"/>
    </xf>
    <xf numFmtId="0" fontId="16" fillId="0" borderId="4" xfId="2" applyFont="1" applyBorder="1" applyAlignment="1" applyProtection="1">
      <alignment horizontal="right" vertical="center" wrapText="1" readingOrder="1"/>
      <protection locked="0"/>
    </xf>
    <xf numFmtId="0" fontId="11" fillId="7" borderId="4" xfId="2" applyFont="1" applyFill="1" applyBorder="1" applyAlignment="1" applyProtection="1">
      <alignment vertical="center" wrapText="1" readingOrder="1"/>
      <protection locked="0"/>
    </xf>
    <xf numFmtId="0" fontId="3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3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 applyAlignment="1">
      <alignment horizontal="right" vertical="center"/>
    </xf>
    <xf numFmtId="43" fontId="2" fillId="0" borderId="0" xfId="1" applyFont="1" applyAlignment="1">
      <alignment horizontal="center" vertical="center"/>
    </xf>
    <xf numFmtId="166" fontId="2" fillId="0" borderId="40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2" borderId="3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/>
    </xf>
    <xf numFmtId="166" fontId="3" fillId="0" borderId="39" xfId="0" applyNumberFormat="1" applyFont="1" applyBorder="1" applyAlignment="1">
      <alignment horizontal="right" vertical="center"/>
    </xf>
    <xf numFmtId="0" fontId="0" fillId="0" borderId="38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44" fillId="4" borderId="40" xfId="0" applyNumberFormat="1" applyFont="1" applyFill="1" applyBorder="1" applyAlignment="1">
      <alignment horizontal="right" vertical="center"/>
    </xf>
    <xf numFmtId="166" fontId="44" fillId="4" borderId="39" xfId="0" applyNumberFormat="1" applyFont="1" applyFill="1" applyBorder="1" applyAlignment="1">
      <alignment horizontal="right" vertical="center"/>
    </xf>
    <xf numFmtId="0" fontId="38" fillId="4" borderId="0" xfId="0" applyFont="1" applyFill="1" applyAlignment="1">
      <alignment horizontal="justify" vertical="center"/>
    </xf>
    <xf numFmtId="4" fontId="2" fillId="4" borderId="0" xfId="0" applyNumberFormat="1" applyFont="1" applyFill="1"/>
  </cellXfs>
  <cellStyles count="10">
    <cellStyle name="Euro" xfId="5" xr:uid="{00000000-0005-0000-0000-000000000000}"/>
    <cellStyle name="Euro 2" xfId="8" xr:uid="{00000000-0005-0000-0000-000001000000}"/>
    <cellStyle name="Migliaia" xfId="1" builtinId="3"/>
    <cellStyle name="Migliaia 2" xfId="6" xr:uid="{00000000-0005-0000-0000-000003000000}"/>
    <cellStyle name="Normale" xfId="0" builtinId="0"/>
    <cellStyle name="Normale 2" xfId="2" xr:uid="{00000000-0005-0000-0000-000005000000}"/>
    <cellStyle name="Normale 3 2" xfId="3" xr:uid="{00000000-0005-0000-0000-000006000000}"/>
    <cellStyle name="Percentuale 2" xfId="4" xr:uid="{00000000-0005-0000-0000-000007000000}"/>
    <cellStyle name="Valuta" xfId="7" builtinId="4"/>
    <cellStyle name="Valuta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MM64\Ragioneria\Lemma\CONTO%20VINCOLATO_GIORNALE%20CASSA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DIANA/DOCUMENTI/CONSUNTIVO%202018/definitiva/Stampa%20Rendiconto%20Gestionale_2018_ARROT_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DIANA/DOCUMENTI/CONSUNTIVO%202017/definitivi/arrotondato_Stampa%20Rendiconto%20Gestionale_07_03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DIANA/DOCUMENTI/CONSUNTIVO%202016/RENDICONTO%20ARROTONDATO%20DEFINITIV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ZIONE%20AMMINISTRATIVA/DOCUMENTI/CONSUNTIVO%202021/Stampa%20Rendiconto%20Gestionale_09_03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o 102 al 31_12_2013"/>
      <sheetName val="conto 101 al 31_12_2013"/>
      <sheetName val="conto 101 al 01_07_2013"/>
      <sheetName val="conto 102 al 01_07_2013"/>
      <sheetName val="conto 101 al 31_12_2012"/>
      <sheetName val="conto 102 al 31_12_2012"/>
      <sheetName val="conto 101 al 12_07_2012"/>
      <sheetName val="conto 102 al 12_07_2012"/>
      <sheetName val="31_12_11"/>
      <sheetName val="31_12_10"/>
      <sheetName val="dispon_conto vinC2009"/>
      <sheetName val="31_12_09"/>
      <sheetName val="27_08_09"/>
      <sheetName val="dispon_conto vinc_1"/>
      <sheetName val="31_12_08_def"/>
      <sheetName val="31_12_08"/>
      <sheetName val="28_10_08"/>
      <sheetName val="14_07_08"/>
      <sheetName val="12_06_08"/>
      <sheetName val="28_04_2008"/>
      <sheetName val="27_12_2007 (DEF)"/>
      <sheetName val="RIEPILOGO AL 31.12.2007"/>
      <sheetName val="27_12_2007_OK (ver)"/>
      <sheetName val="27_12_2007"/>
      <sheetName val="24_09_2007"/>
      <sheetName val="12_07_2007"/>
      <sheetName val="costituzione vincolo"/>
      <sheetName val="08_05_2007"/>
      <sheetName val="RIEPILOGO AL 23_03_2007 "/>
      <sheetName val="23_03_2007"/>
      <sheetName val="06_03_2007"/>
      <sheetName val="RIEPILOGO AL 31_12_06"/>
      <sheetName val="29_12_2006"/>
      <sheetName val="11_10_2006"/>
      <sheetName val="07_09_2006"/>
      <sheetName val="04_08_2006"/>
      <sheetName val="29_06_2006"/>
      <sheetName val="22_06_2006"/>
      <sheetName val="RIEPILOGO AL 31_12_05"/>
      <sheetName val="25_05_2006"/>
      <sheetName val="23_12_2005"/>
      <sheetName val="22_12_2005"/>
      <sheetName val="09_12_2005"/>
      <sheetName val="27_09_2005"/>
      <sheetName val="03_08_2005"/>
      <sheetName val="28_07_2005"/>
      <sheetName val="MOV REG BANCA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>
            <v>164335.40999999997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 finalità"/>
      <sheetName val=" funzioni obiettivo"/>
      <sheetName val="ModelloMissioniProgrammi"/>
      <sheetName val="AssociazioniMissioniProgram CON"/>
      <sheetName val="AssociazioniMissioniProgrammiPR"/>
      <sheetName val="Quadro Generale "/>
      <sheetName val="decisionale spese"/>
      <sheetName val="decisionale entrate "/>
      <sheetName val="mod. SITUAM 2018"/>
      <sheetName val="Stampa rendiconto PI - ENTRATE"/>
      <sheetName val="Stampa rendiconto PII - ENTRATE"/>
      <sheetName val="Stampa rendiconto PI - USCITE"/>
      <sheetName val="Stampa rendiconto PII - USC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4">
          <cell r="L10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unzioni obiettivo"/>
      <sheetName val="RES ATT DA MANTENERE ARROT (2)"/>
      <sheetName val="mod. SITUAM 2017"/>
      <sheetName val="Quadro Generale "/>
      <sheetName val="decisionale entrate "/>
      <sheetName val="decisionale spese"/>
      <sheetName val="Stampa rendiconto PI - ENTRATE"/>
      <sheetName val="Stampa rendiconto PII - ENTRATE"/>
      <sheetName val="Stampa rendiconto PI - USCITE"/>
      <sheetName val="Stampa rendiconto PII - USC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4">
          <cell r="K104">
            <v>0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ale spese"/>
      <sheetName val="decisionale entrate"/>
      <sheetName val="Quadro Generale Riassuntivo Con"/>
      <sheetName val="RES ATT DA MANT DEF ARR"/>
      <sheetName val="mod. SITUAM 2016"/>
      <sheetName val="PI ENTRATE ARROT"/>
      <sheetName val=" PII ENTR ARROT con riduz resid"/>
      <sheetName val=" PII ENTRATE ARROT"/>
      <sheetName val=" PI USCITE ARROT"/>
      <sheetName val="PII - USC ARR con riduz res"/>
      <sheetName val="PII - USCITE ARROT"/>
      <sheetName val="funzioni obiettivo"/>
    </sheetNames>
    <sheetDataSet>
      <sheetData sheetId="0"/>
      <sheetData sheetId="1"/>
      <sheetData sheetId="2"/>
      <sheetData sheetId="3"/>
      <sheetData sheetId="4"/>
      <sheetData sheetId="5">
        <row r="34">
          <cell r="K34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pa rendiconto PI - ENTRATE"/>
      <sheetName val="Stampa rendiconto PII - ENTRATE"/>
      <sheetName val="Stampa rendiconto PI - USCITE"/>
      <sheetName val="Stampa rendiconto PII - USCITE"/>
    </sheetNames>
    <sheetDataSet>
      <sheetData sheetId="0">
        <row r="22">
          <cell r="I22">
            <v>6034</v>
          </cell>
        </row>
        <row r="25">
          <cell r="H25">
            <v>13296728</v>
          </cell>
          <cell r="I25">
            <v>10327591</v>
          </cell>
          <cell r="J25">
            <v>562625</v>
          </cell>
        </row>
        <row r="26">
          <cell r="H26">
            <v>0</v>
          </cell>
          <cell r="I26">
            <v>0</v>
          </cell>
          <cell r="J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</row>
        <row r="28">
          <cell r="H28">
            <v>4208993</v>
          </cell>
          <cell r="I28">
            <v>5619493</v>
          </cell>
          <cell r="J28">
            <v>254646</v>
          </cell>
        </row>
        <row r="29">
          <cell r="H29">
            <v>63790</v>
          </cell>
          <cell r="I29">
            <v>52070</v>
          </cell>
          <cell r="J29">
            <v>3810</v>
          </cell>
        </row>
        <row r="30">
          <cell r="H30">
            <v>50000</v>
          </cell>
          <cell r="I30">
            <v>75553</v>
          </cell>
          <cell r="J30">
            <v>0</v>
          </cell>
        </row>
        <row r="33">
          <cell r="H33">
            <v>0</v>
          </cell>
          <cell r="J33">
            <v>0</v>
          </cell>
        </row>
        <row r="36">
          <cell r="H36">
            <v>2267000</v>
          </cell>
          <cell r="I36">
            <v>624773</v>
          </cell>
          <cell r="J36">
            <v>3288890</v>
          </cell>
        </row>
        <row r="37">
          <cell r="H37">
            <v>0</v>
          </cell>
          <cell r="I37">
            <v>0</v>
          </cell>
          <cell r="J37">
            <v>0</v>
          </cell>
        </row>
        <row r="38">
          <cell r="H38">
            <v>5000</v>
          </cell>
          <cell r="I38">
            <v>0</v>
          </cell>
          <cell r="J38">
            <v>0</v>
          </cell>
        </row>
        <row r="39">
          <cell r="H39">
            <v>0</v>
          </cell>
          <cell r="I39">
            <v>20</v>
          </cell>
          <cell r="J39">
            <v>0</v>
          </cell>
        </row>
        <row r="42">
          <cell r="H42">
            <v>15000</v>
          </cell>
          <cell r="I42">
            <v>43576</v>
          </cell>
          <cell r="J42">
            <v>382607</v>
          </cell>
        </row>
        <row r="43">
          <cell r="H43">
            <v>0</v>
          </cell>
          <cell r="I43">
            <v>6355657</v>
          </cell>
          <cell r="J43">
            <v>0</v>
          </cell>
        </row>
        <row r="46">
          <cell r="H46">
            <v>35000</v>
          </cell>
          <cell r="I46">
            <v>67195</v>
          </cell>
          <cell r="J46">
            <v>0</v>
          </cell>
        </row>
        <row r="47">
          <cell r="H47">
            <v>185000</v>
          </cell>
          <cell r="I47">
            <v>167724</v>
          </cell>
          <cell r="J47">
            <v>0</v>
          </cell>
        </row>
        <row r="64">
          <cell r="H64">
            <v>0</v>
          </cell>
          <cell r="I64">
            <v>180100</v>
          </cell>
          <cell r="J64">
            <v>0</v>
          </cell>
        </row>
        <row r="67">
          <cell r="I67">
            <v>21435266</v>
          </cell>
          <cell r="J67">
            <v>2560601</v>
          </cell>
        </row>
        <row r="79">
          <cell r="H79">
            <v>0</v>
          </cell>
          <cell r="I79">
            <v>0</v>
          </cell>
          <cell r="J79">
            <v>0</v>
          </cell>
        </row>
        <row r="86">
          <cell r="H86">
            <v>0</v>
          </cell>
          <cell r="I86">
            <v>7869</v>
          </cell>
          <cell r="J86">
            <v>0</v>
          </cell>
        </row>
        <row r="94">
          <cell r="H94">
            <v>1400000</v>
          </cell>
          <cell r="I94">
            <v>1379627</v>
          </cell>
          <cell r="J94">
            <v>2143</v>
          </cell>
        </row>
        <row r="95">
          <cell r="H95">
            <v>420000</v>
          </cell>
          <cell r="I95">
            <v>389083</v>
          </cell>
          <cell r="J95">
            <v>51</v>
          </cell>
        </row>
        <row r="96">
          <cell r="H96">
            <v>5000</v>
          </cell>
          <cell r="I96">
            <v>3510</v>
          </cell>
          <cell r="J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  <row r="99">
          <cell r="H99">
            <v>40000</v>
          </cell>
          <cell r="I99">
            <v>7046</v>
          </cell>
          <cell r="J99">
            <v>11817</v>
          </cell>
        </row>
        <row r="100">
          <cell r="H100">
            <v>30000</v>
          </cell>
          <cell r="I100">
            <v>27623</v>
          </cell>
          <cell r="J100">
            <v>0</v>
          </cell>
        </row>
        <row r="101">
          <cell r="H101">
            <v>22500</v>
          </cell>
          <cell r="I101">
            <v>20000</v>
          </cell>
          <cell r="J101">
            <v>0</v>
          </cell>
        </row>
        <row r="102">
          <cell r="H102">
            <v>920000</v>
          </cell>
          <cell r="I102">
            <v>753825</v>
          </cell>
          <cell r="J102">
            <v>18406</v>
          </cell>
        </row>
      </sheetData>
      <sheetData sheetId="1">
        <row r="22">
          <cell r="F22">
            <v>0</v>
          </cell>
        </row>
        <row r="25">
          <cell r="F25">
            <v>804393</v>
          </cell>
          <cell r="H25">
            <v>804393</v>
          </cell>
        </row>
        <row r="26">
          <cell r="F26">
            <v>0</v>
          </cell>
          <cell r="H26">
            <v>0</v>
          </cell>
        </row>
        <row r="27">
          <cell r="F27">
            <v>0</v>
          </cell>
          <cell r="H27">
            <v>0</v>
          </cell>
        </row>
        <row r="28">
          <cell r="F28">
            <v>272042</v>
          </cell>
          <cell r="H28">
            <v>272042</v>
          </cell>
        </row>
        <row r="29">
          <cell r="F29">
            <v>0</v>
          </cell>
          <cell r="H29">
            <v>0</v>
          </cell>
        </row>
        <row r="30">
          <cell r="F30">
            <v>0</v>
          </cell>
          <cell r="H30">
            <v>0</v>
          </cell>
        </row>
        <row r="33">
          <cell r="H33">
            <v>0</v>
          </cell>
        </row>
        <row r="36">
          <cell r="F36">
            <v>1299470</v>
          </cell>
          <cell r="H36">
            <v>1800215</v>
          </cell>
        </row>
        <row r="37">
          <cell r="F37">
            <v>0</v>
          </cell>
          <cell r="H37">
            <v>0</v>
          </cell>
        </row>
        <row r="38">
          <cell r="F38">
            <v>5</v>
          </cell>
          <cell r="H38">
            <v>5</v>
          </cell>
        </row>
        <row r="39">
          <cell r="F39">
            <v>4</v>
          </cell>
          <cell r="H39">
            <v>210</v>
          </cell>
        </row>
        <row r="42">
          <cell r="F42">
            <v>13432</v>
          </cell>
          <cell r="H42">
            <v>91123</v>
          </cell>
        </row>
        <row r="43">
          <cell r="F43">
            <v>0</v>
          </cell>
          <cell r="H43">
            <v>0</v>
          </cell>
        </row>
        <row r="46">
          <cell r="F46">
            <v>0</v>
          </cell>
          <cell r="H46">
            <v>0</v>
          </cell>
        </row>
        <row r="47">
          <cell r="F47">
            <v>0</v>
          </cell>
          <cell r="H47">
            <v>0</v>
          </cell>
        </row>
        <row r="64">
          <cell r="F64">
            <v>0</v>
          </cell>
          <cell r="H64">
            <v>0</v>
          </cell>
        </row>
        <row r="67">
          <cell r="F67">
            <v>15811406</v>
          </cell>
        </row>
        <row r="79">
          <cell r="F79">
            <v>229606</v>
          </cell>
          <cell r="H79">
            <v>4350064</v>
          </cell>
        </row>
        <row r="86">
          <cell r="F86">
            <v>0</v>
          </cell>
          <cell r="H86">
            <v>0</v>
          </cell>
        </row>
        <row r="94">
          <cell r="F94">
            <v>3054</v>
          </cell>
          <cell r="H94">
            <v>3054</v>
          </cell>
        </row>
        <row r="95">
          <cell r="F95">
            <v>0</v>
          </cell>
          <cell r="H95">
            <v>0</v>
          </cell>
        </row>
        <row r="96">
          <cell r="F96">
            <v>0</v>
          </cell>
          <cell r="H96">
            <v>0</v>
          </cell>
        </row>
        <row r="97">
          <cell r="F97">
            <v>0</v>
          </cell>
          <cell r="H97">
            <v>0</v>
          </cell>
        </row>
        <row r="98">
          <cell r="F98">
            <v>0</v>
          </cell>
          <cell r="H98">
            <v>0</v>
          </cell>
        </row>
        <row r="99">
          <cell r="F99">
            <v>7724</v>
          </cell>
          <cell r="H99">
            <v>50956</v>
          </cell>
        </row>
        <row r="100">
          <cell r="F100">
            <v>0</v>
          </cell>
          <cell r="H100">
            <v>0</v>
          </cell>
        </row>
        <row r="101">
          <cell r="F101">
            <v>0</v>
          </cell>
          <cell r="H101">
            <v>0</v>
          </cell>
        </row>
        <row r="102">
          <cell r="F102">
            <v>22405</v>
          </cell>
          <cell r="H102">
            <v>30528</v>
          </cell>
        </row>
      </sheetData>
      <sheetData sheetId="2">
        <row r="10">
          <cell r="H10">
            <v>299450</v>
          </cell>
          <cell r="I10">
            <v>256903</v>
          </cell>
          <cell r="J10">
            <v>843</v>
          </cell>
        </row>
        <row r="11">
          <cell r="H11">
            <v>7501</v>
          </cell>
          <cell r="I11">
            <v>480</v>
          </cell>
          <cell r="J11">
            <v>0</v>
          </cell>
        </row>
        <row r="12">
          <cell r="H12">
            <v>83200</v>
          </cell>
          <cell r="I12">
            <v>52552</v>
          </cell>
          <cell r="J12">
            <v>8964</v>
          </cell>
        </row>
        <row r="15">
          <cell r="H15">
            <v>147600</v>
          </cell>
          <cell r="I15">
            <v>147235</v>
          </cell>
          <cell r="J15">
            <v>364</v>
          </cell>
        </row>
        <row r="16">
          <cell r="H16">
            <v>1878746</v>
          </cell>
          <cell r="I16">
            <v>1864403</v>
          </cell>
          <cell r="J16">
            <v>11652</v>
          </cell>
        </row>
        <row r="17">
          <cell r="H17">
            <v>29648</v>
          </cell>
          <cell r="I17">
            <v>29599</v>
          </cell>
          <cell r="J17">
            <v>0</v>
          </cell>
        </row>
        <row r="18">
          <cell r="H18">
            <v>14022</v>
          </cell>
          <cell r="I18">
            <v>6525</v>
          </cell>
          <cell r="J18">
            <v>258</v>
          </cell>
        </row>
        <row r="19">
          <cell r="H19">
            <v>0</v>
          </cell>
          <cell r="I19">
            <v>0</v>
          </cell>
          <cell r="J19">
            <v>0</v>
          </cell>
        </row>
        <row r="20">
          <cell r="H20">
            <v>46185</v>
          </cell>
          <cell r="I20">
            <v>27385</v>
          </cell>
          <cell r="J20">
            <v>17810</v>
          </cell>
        </row>
        <row r="21">
          <cell r="H21">
            <v>1048595</v>
          </cell>
          <cell r="I21">
            <v>1033253</v>
          </cell>
          <cell r="J21">
            <v>11205</v>
          </cell>
        </row>
        <row r="22">
          <cell r="H22">
            <v>1848623</v>
          </cell>
          <cell r="I22">
            <v>1847161</v>
          </cell>
          <cell r="J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</row>
        <row r="26">
          <cell r="H26">
            <v>4815</v>
          </cell>
          <cell r="I26">
            <v>507</v>
          </cell>
          <cell r="J26">
            <v>4308</v>
          </cell>
        </row>
        <row r="27">
          <cell r="H27">
            <v>1522</v>
          </cell>
          <cell r="I27">
            <v>0</v>
          </cell>
          <cell r="J27">
            <v>0</v>
          </cell>
        </row>
        <row r="28">
          <cell r="H28">
            <v>156877</v>
          </cell>
          <cell r="I28">
            <v>60052</v>
          </cell>
          <cell r="J28">
            <v>19901</v>
          </cell>
        </row>
        <row r="29">
          <cell r="H29">
            <v>50000</v>
          </cell>
          <cell r="I29">
            <v>44846</v>
          </cell>
          <cell r="J29">
            <v>4554</v>
          </cell>
        </row>
        <row r="30">
          <cell r="H30">
            <v>0</v>
          </cell>
          <cell r="I30">
            <v>0</v>
          </cell>
          <cell r="J30">
            <v>0</v>
          </cell>
        </row>
        <row r="31">
          <cell r="H31">
            <v>86250</v>
          </cell>
          <cell r="I31">
            <v>76597</v>
          </cell>
          <cell r="J31">
            <v>9653</v>
          </cell>
        </row>
        <row r="32">
          <cell r="H32">
            <v>46679</v>
          </cell>
          <cell r="I32">
            <v>35876</v>
          </cell>
          <cell r="J32">
            <v>10336</v>
          </cell>
        </row>
        <row r="33">
          <cell r="H33">
            <v>15700</v>
          </cell>
          <cell r="I33">
            <v>15699</v>
          </cell>
          <cell r="J33">
            <v>0</v>
          </cell>
        </row>
        <row r="34">
          <cell r="H34">
            <v>5000</v>
          </cell>
          <cell r="I34">
            <v>0</v>
          </cell>
          <cell r="J34">
            <v>0</v>
          </cell>
        </row>
        <row r="35">
          <cell r="H35">
            <v>138800</v>
          </cell>
          <cell r="I35">
            <v>74433</v>
          </cell>
          <cell r="J35">
            <v>61989</v>
          </cell>
        </row>
        <row r="36">
          <cell r="H36">
            <v>0</v>
          </cell>
          <cell r="I36">
            <v>0</v>
          </cell>
          <cell r="J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</row>
        <row r="38">
          <cell r="H38">
            <v>6000</v>
          </cell>
          <cell r="I38">
            <v>0</v>
          </cell>
          <cell r="J38">
            <v>0</v>
          </cell>
        </row>
        <row r="39">
          <cell r="H39">
            <v>20000</v>
          </cell>
          <cell r="I39">
            <v>14781</v>
          </cell>
          <cell r="J39">
            <v>0</v>
          </cell>
        </row>
        <row r="40">
          <cell r="H40">
            <v>15000</v>
          </cell>
          <cell r="I40">
            <v>312</v>
          </cell>
          <cell r="J40">
            <v>2018</v>
          </cell>
        </row>
        <row r="41">
          <cell r="H41">
            <v>1000</v>
          </cell>
          <cell r="I41">
            <v>220</v>
          </cell>
          <cell r="J41">
            <v>780</v>
          </cell>
        </row>
        <row r="42">
          <cell r="H42">
            <v>55000</v>
          </cell>
          <cell r="I42">
            <v>38702</v>
          </cell>
          <cell r="J42">
            <v>7876</v>
          </cell>
        </row>
        <row r="43">
          <cell r="H43">
            <v>0</v>
          </cell>
          <cell r="I43">
            <v>0</v>
          </cell>
          <cell r="J43">
            <v>0</v>
          </cell>
        </row>
        <row r="46">
          <cell r="H46">
            <v>2200000</v>
          </cell>
          <cell r="I46">
            <v>1684542</v>
          </cell>
          <cell r="J46">
            <v>375479</v>
          </cell>
        </row>
        <row r="47">
          <cell r="H47">
            <v>4215000</v>
          </cell>
          <cell r="I47">
            <v>2018549</v>
          </cell>
          <cell r="J47">
            <v>1162019</v>
          </cell>
        </row>
        <row r="48">
          <cell r="H48">
            <v>0</v>
          </cell>
          <cell r="I48">
            <v>0</v>
          </cell>
          <cell r="J48">
            <v>0</v>
          </cell>
        </row>
        <row r="49">
          <cell r="H49">
            <v>102759</v>
          </cell>
          <cell r="I49">
            <v>26524</v>
          </cell>
          <cell r="J49">
            <v>70454</v>
          </cell>
        </row>
        <row r="50">
          <cell r="H50">
            <v>51210</v>
          </cell>
          <cell r="I50">
            <v>51210</v>
          </cell>
          <cell r="J50">
            <v>0</v>
          </cell>
        </row>
        <row r="53">
          <cell r="H53">
            <v>400000</v>
          </cell>
          <cell r="I53">
            <v>257793</v>
          </cell>
          <cell r="J53">
            <v>133158</v>
          </cell>
        </row>
        <row r="54">
          <cell r="H54">
            <v>0</v>
          </cell>
          <cell r="I54">
            <v>0</v>
          </cell>
          <cell r="J54">
            <v>0</v>
          </cell>
        </row>
        <row r="55">
          <cell r="H55">
            <v>20000</v>
          </cell>
          <cell r="I55">
            <v>0</v>
          </cell>
          <cell r="J55">
            <v>0</v>
          </cell>
        </row>
        <row r="58">
          <cell r="H58">
            <v>16000</v>
          </cell>
          <cell r="I58">
            <v>15323</v>
          </cell>
          <cell r="J58">
            <v>2</v>
          </cell>
        </row>
        <row r="61">
          <cell r="H61">
            <v>370772</v>
          </cell>
          <cell r="I61">
            <v>344595</v>
          </cell>
          <cell r="J61">
            <v>11809</v>
          </cell>
        </row>
        <row r="64">
          <cell r="H64">
            <v>228000</v>
          </cell>
          <cell r="I64">
            <v>79619</v>
          </cell>
          <cell r="J64">
            <v>134470</v>
          </cell>
        </row>
        <row r="67">
          <cell r="H67">
            <v>165000</v>
          </cell>
          <cell r="I67">
            <v>165000</v>
          </cell>
          <cell r="J67">
            <v>0</v>
          </cell>
        </row>
        <row r="68">
          <cell r="H68">
            <v>180000</v>
          </cell>
          <cell r="I68">
            <v>0</v>
          </cell>
          <cell r="J68">
            <v>0</v>
          </cell>
        </row>
        <row r="69">
          <cell r="H69">
            <v>308863</v>
          </cell>
          <cell r="I69">
            <v>308863</v>
          </cell>
          <cell r="J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</row>
        <row r="84">
          <cell r="I84">
            <v>10377950</v>
          </cell>
          <cell r="J84">
            <v>21812414</v>
          </cell>
        </row>
        <row r="85">
          <cell r="H85">
            <v>1000000</v>
          </cell>
          <cell r="I85">
            <v>1200</v>
          </cell>
          <cell r="J85">
            <v>30</v>
          </cell>
        </row>
        <row r="86">
          <cell r="H86">
            <v>6530000</v>
          </cell>
          <cell r="I86">
            <v>15417</v>
          </cell>
          <cell r="J86">
            <v>1826586</v>
          </cell>
        </row>
        <row r="87">
          <cell r="H87">
            <v>0</v>
          </cell>
          <cell r="I87">
            <v>0</v>
          </cell>
          <cell r="J87">
            <v>0</v>
          </cell>
        </row>
        <row r="90">
          <cell r="H90">
            <v>530000</v>
          </cell>
          <cell r="I90">
            <v>16903</v>
          </cell>
          <cell r="J90">
            <v>6540</v>
          </cell>
        </row>
        <row r="91">
          <cell r="H91">
            <v>0</v>
          </cell>
          <cell r="I91">
            <v>0</v>
          </cell>
          <cell r="J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</row>
        <row r="93">
          <cell r="H93">
            <v>500000</v>
          </cell>
          <cell r="I93">
            <v>235672</v>
          </cell>
          <cell r="J93">
            <v>63331</v>
          </cell>
        </row>
        <row r="94">
          <cell r="H94">
            <v>600000</v>
          </cell>
          <cell r="I94">
            <v>31260</v>
          </cell>
          <cell r="J94">
            <v>25648</v>
          </cell>
        </row>
        <row r="97">
          <cell r="H97">
            <v>50000</v>
          </cell>
          <cell r="I97">
            <v>0</v>
          </cell>
          <cell r="J97">
            <v>0</v>
          </cell>
        </row>
        <row r="98">
          <cell r="H98">
            <v>420000</v>
          </cell>
          <cell r="I98">
            <v>0</v>
          </cell>
          <cell r="J98">
            <v>60</v>
          </cell>
        </row>
        <row r="108">
          <cell r="H108">
            <v>129000</v>
          </cell>
          <cell r="I108">
            <v>99542</v>
          </cell>
          <cell r="J108">
            <v>12714</v>
          </cell>
        </row>
        <row r="129">
          <cell r="H129">
            <v>1400000</v>
          </cell>
          <cell r="I129">
            <v>1376593</v>
          </cell>
          <cell r="J129">
            <v>5177</v>
          </cell>
        </row>
        <row r="130">
          <cell r="H130">
            <v>420000</v>
          </cell>
          <cell r="I130">
            <v>387869</v>
          </cell>
          <cell r="J130">
            <v>1265</v>
          </cell>
        </row>
        <row r="131">
          <cell r="H131">
            <v>5000</v>
          </cell>
          <cell r="I131">
            <v>3510</v>
          </cell>
          <cell r="J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</row>
        <row r="134">
          <cell r="H134">
            <v>40000</v>
          </cell>
          <cell r="I134">
            <v>15186</v>
          </cell>
          <cell r="J134">
            <v>3677</v>
          </cell>
        </row>
        <row r="135">
          <cell r="H135">
            <v>30000</v>
          </cell>
          <cell r="I135">
            <v>25651</v>
          </cell>
          <cell r="J135">
            <v>1972</v>
          </cell>
        </row>
        <row r="136">
          <cell r="H136">
            <v>22500</v>
          </cell>
          <cell r="I136">
            <v>20000</v>
          </cell>
          <cell r="J136">
            <v>0</v>
          </cell>
        </row>
        <row r="137">
          <cell r="H137">
            <v>920000</v>
          </cell>
          <cell r="I137">
            <v>449830</v>
          </cell>
          <cell r="J137">
            <v>322401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8733-260A-425C-9C8C-FD6FDA774EA7}">
  <sheetPr filterMode="1"/>
  <dimension ref="A1:AL405"/>
  <sheetViews>
    <sheetView zoomScale="95" zoomScaleNormal="95" zoomScalePageLayoutView="316" workbookViewId="0">
      <selection activeCell="K204" sqref="K204:K289"/>
    </sheetView>
  </sheetViews>
  <sheetFormatPr defaultRowHeight="15" x14ac:dyDescent="0.25"/>
  <cols>
    <col min="2" max="2" width="10.5703125" customWidth="1"/>
    <col min="3" max="3" width="9.140625" style="249"/>
    <col min="4" max="4" width="11.42578125" hidden="1" customWidth="1"/>
    <col min="5" max="5" width="30.140625" customWidth="1"/>
    <col min="6" max="6" width="20.28515625" hidden="1" customWidth="1"/>
    <col min="7" max="7" width="20.28515625" customWidth="1"/>
    <col min="8" max="8" width="11" customWidth="1"/>
    <col min="9" max="10" width="17.42578125" hidden="1" customWidth="1"/>
    <col min="11" max="11" width="17.42578125" style="250" customWidth="1"/>
    <col min="12" max="12" width="21.85546875" customWidth="1"/>
    <col min="13" max="14" width="17.7109375" customWidth="1"/>
    <col min="15" max="15" width="16.28515625" customWidth="1"/>
    <col min="16" max="16" width="11.5703125" customWidth="1"/>
    <col min="17" max="18" width="9.140625" customWidth="1"/>
    <col min="19" max="19" width="9.85546875" customWidth="1"/>
    <col min="20" max="20" width="15.5703125" customWidth="1"/>
    <col min="21" max="22" width="14.5703125" customWidth="1"/>
    <col min="23" max="24" width="15.140625" customWidth="1"/>
    <col min="25" max="25" width="24.85546875" customWidth="1"/>
    <col min="26" max="38" width="9.140625" customWidth="1"/>
    <col min="39" max="39" width="1.5703125" customWidth="1"/>
    <col min="42" max="42" width="13.5703125" bestFit="1" customWidth="1"/>
  </cols>
  <sheetData>
    <row r="1" spans="1:38" ht="59.25" customHeight="1" x14ac:dyDescent="0.35">
      <c r="A1" s="260" t="s">
        <v>791</v>
      </c>
      <c r="B1" s="260"/>
      <c r="C1" s="260"/>
      <c r="D1" s="261"/>
      <c r="E1" s="260"/>
      <c r="F1" s="261"/>
      <c r="G1" s="260"/>
      <c r="H1" s="260"/>
      <c r="I1" s="261"/>
      <c r="J1" s="261"/>
      <c r="K1" s="260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ht="36.75" customHeight="1" x14ac:dyDescent="0.25">
      <c r="A2" s="123" t="s">
        <v>613</v>
      </c>
      <c r="B2" s="124" t="s">
        <v>614</v>
      </c>
      <c r="C2" s="125" t="s">
        <v>615</v>
      </c>
      <c r="D2" s="4"/>
      <c r="E2" s="123" t="s">
        <v>616</v>
      </c>
      <c r="F2" s="66" t="s">
        <v>617</v>
      </c>
      <c r="G2" s="126" t="s">
        <v>618</v>
      </c>
      <c r="H2" s="84" t="s">
        <v>619</v>
      </c>
      <c r="I2" s="127" t="s">
        <v>620</v>
      </c>
      <c r="J2" s="67" t="s">
        <v>621</v>
      </c>
      <c r="K2" s="128" t="s">
        <v>792</v>
      </c>
      <c r="L2" s="129"/>
      <c r="M2" s="130"/>
      <c r="N2" s="127" t="s">
        <v>622</v>
      </c>
      <c r="O2" s="4"/>
      <c r="P2" s="4" t="s">
        <v>623</v>
      </c>
      <c r="Q2" s="4"/>
      <c r="R2" s="4"/>
    </row>
    <row r="3" spans="1:38" ht="19.5" hidden="1" customHeight="1" x14ac:dyDescent="0.25">
      <c r="A3" s="96">
        <v>2001</v>
      </c>
      <c r="B3" s="96" t="s">
        <v>68</v>
      </c>
      <c r="C3" s="78">
        <v>308</v>
      </c>
      <c r="D3" s="131" t="s">
        <v>624</v>
      </c>
      <c r="E3" s="68" t="s">
        <v>624</v>
      </c>
      <c r="F3" s="132">
        <v>12531.22</v>
      </c>
      <c r="G3" s="69">
        <v>12531</v>
      </c>
      <c r="H3" s="133" t="s">
        <v>625</v>
      </c>
      <c r="I3" s="134">
        <f t="shared" ref="I3:I34" si="0">F3</f>
        <v>12531.22</v>
      </c>
      <c r="J3" s="135" t="s">
        <v>626</v>
      </c>
      <c r="K3" s="136">
        <f t="shared" ref="K3:K6" si="1">F3</f>
        <v>12531.22</v>
      </c>
      <c r="L3" s="71" t="s">
        <v>627</v>
      </c>
      <c r="M3" s="72" t="s">
        <v>628</v>
      </c>
      <c r="N3" s="127"/>
      <c r="O3" s="137">
        <f>G3-K3</f>
        <v>-0.21999999999934516</v>
      </c>
      <c r="P3" s="138" t="s">
        <v>629</v>
      </c>
      <c r="Q3" s="4" t="s">
        <v>630</v>
      </c>
      <c r="R3" s="4"/>
      <c r="S3" t="s">
        <v>631</v>
      </c>
      <c r="T3" t="s">
        <v>630</v>
      </c>
      <c r="U3" t="s">
        <v>632</v>
      </c>
    </row>
    <row r="4" spans="1:38" ht="19.5" hidden="1" customHeight="1" x14ac:dyDescent="0.25">
      <c r="A4" s="96">
        <v>2001</v>
      </c>
      <c r="B4" s="96" t="s">
        <v>68</v>
      </c>
      <c r="C4" s="78">
        <v>408</v>
      </c>
      <c r="D4" s="131" t="s">
        <v>624</v>
      </c>
      <c r="E4" s="68" t="s">
        <v>624</v>
      </c>
      <c r="F4" s="132">
        <v>12.38</v>
      </c>
      <c r="G4" s="69">
        <v>12</v>
      </c>
      <c r="H4" s="133" t="s">
        <v>625</v>
      </c>
      <c r="I4" s="134">
        <f t="shared" si="0"/>
        <v>12.38</v>
      </c>
      <c r="J4" s="135" t="s">
        <v>626</v>
      </c>
      <c r="K4" s="136">
        <f t="shared" si="1"/>
        <v>12.38</v>
      </c>
      <c r="L4" s="71" t="s">
        <v>627</v>
      </c>
      <c r="M4" s="72" t="s">
        <v>628</v>
      </c>
      <c r="N4" s="127"/>
      <c r="O4" s="4"/>
      <c r="P4" s="138" t="s">
        <v>629</v>
      </c>
      <c r="Q4" s="4" t="s">
        <v>630</v>
      </c>
      <c r="R4" s="4"/>
      <c r="S4" t="s">
        <v>631</v>
      </c>
      <c r="T4" t="s">
        <v>630</v>
      </c>
      <c r="U4" t="s">
        <v>632</v>
      </c>
    </row>
    <row r="5" spans="1:38" ht="16.5" hidden="1" customHeight="1" x14ac:dyDescent="0.25">
      <c r="A5" s="96">
        <v>2009</v>
      </c>
      <c r="B5" s="96" t="s">
        <v>68</v>
      </c>
      <c r="C5" s="78">
        <v>297</v>
      </c>
      <c r="D5" s="139" t="s">
        <v>633</v>
      </c>
      <c r="E5" s="73" t="s">
        <v>634</v>
      </c>
      <c r="F5" s="140">
        <v>6143</v>
      </c>
      <c r="G5" s="69">
        <v>6142.5</v>
      </c>
      <c r="H5" s="133" t="s">
        <v>625</v>
      </c>
      <c r="I5" s="134">
        <f t="shared" si="0"/>
        <v>6143</v>
      </c>
      <c r="J5" s="135" t="s">
        <v>635</v>
      </c>
      <c r="K5" s="136">
        <f>G5</f>
        <v>6142.5</v>
      </c>
      <c r="L5" s="74">
        <v>8568</v>
      </c>
      <c r="M5" s="75">
        <v>40108</v>
      </c>
      <c r="N5" s="76">
        <v>40057</v>
      </c>
      <c r="O5" s="4"/>
      <c r="P5" s="4" t="s">
        <v>636</v>
      </c>
      <c r="Q5" s="4" t="s">
        <v>630</v>
      </c>
      <c r="R5" s="4"/>
      <c r="S5" t="s">
        <v>631</v>
      </c>
      <c r="T5" t="s">
        <v>630</v>
      </c>
      <c r="U5" s="4" t="s">
        <v>637</v>
      </c>
    </row>
    <row r="6" spans="1:38" ht="16.5" hidden="1" customHeight="1" x14ac:dyDescent="0.25">
      <c r="A6" s="96">
        <v>2009</v>
      </c>
      <c r="B6" s="96" t="s">
        <v>68</v>
      </c>
      <c r="C6" s="78">
        <v>333</v>
      </c>
      <c r="D6" s="139" t="s">
        <v>633</v>
      </c>
      <c r="E6" s="73" t="s">
        <v>634</v>
      </c>
      <c r="F6" s="140">
        <v>6347.25</v>
      </c>
      <c r="G6" s="69">
        <v>6347</v>
      </c>
      <c r="H6" s="133" t="s">
        <v>625</v>
      </c>
      <c r="I6" s="134">
        <f t="shared" si="0"/>
        <v>6347.25</v>
      </c>
      <c r="J6" s="135" t="s">
        <v>635</v>
      </c>
      <c r="K6" s="136">
        <f t="shared" si="1"/>
        <v>6347.25</v>
      </c>
      <c r="L6" s="74">
        <v>9677</v>
      </c>
      <c r="M6" s="75">
        <v>40137</v>
      </c>
      <c r="N6" s="76">
        <v>40087</v>
      </c>
      <c r="O6" s="4"/>
      <c r="P6" s="4" t="s">
        <v>636</v>
      </c>
      <c r="Q6" s="4" t="s">
        <v>630</v>
      </c>
      <c r="R6" s="4"/>
      <c r="S6" t="s">
        <v>631</v>
      </c>
      <c r="T6" t="s">
        <v>630</v>
      </c>
      <c r="U6" s="4" t="s">
        <v>637</v>
      </c>
    </row>
    <row r="7" spans="1:38" ht="16.5" hidden="1" customHeight="1" x14ac:dyDescent="0.25">
      <c r="A7" s="96">
        <v>2009</v>
      </c>
      <c r="B7" s="96" t="s">
        <v>68</v>
      </c>
      <c r="C7" s="78">
        <v>406</v>
      </c>
      <c r="D7" s="139" t="s">
        <v>633</v>
      </c>
      <c r="E7" s="73" t="s">
        <v>634</v>
      </c>
      <c r="F7" s="140">
        <v>6143</v>
      </c>
      <c r="G7" s="69">
        <v>6142.5</v>
      </c>
      <c r="H7" s="133" t="s">
        <v>625</v>
      </c>
      <c r="I7" s="134">
        <f t="shared" si="0"/>
        <v>6143</v>
      </c>
      <c r="J7" s="135" t="s">
        <v>635</v>
      </c>
      <c r="K7" s="136">
        <f>G7</f>
        <v>6142.5</v>
      </c>
      <c r="L7" s="74">
        <v>874</v>
      </c>
      <c r="M7" s="75">
        <v>40205</v>
      </c>
      <c r="N7" s="76">
        <v>40118</v>
      </c>
      <c r="O7" s="4"/>
      <c r="P7" s="4" t="s">
        <v>636</v>
      </c>
      <c r="Q7" s="4" t="s">
        <v>630</v>
      </c>
      <c r="R7" s="4"/>
      <c r="S7" t="s">
        <v>631</v>
      </c>
      <c r="T7" t="s">
        <v>630</v>
      </c>
      <c r="U7" s="4" t="s">
        <v>637</v>
      </c>
    </row>
    <row r="8" spans="1:38" ht="16.5" hidden="1" customHeight="1" x14ac:dyDescent="0.25">
      <c r="A8" s="96">
        <v>2010</v>
      </c>
      <c r="B8" s="96" t="s">
        <v>68</v>
      </c>
      <c r="C8" s="78">
        <v>37</v>
      </c>
      <c r="D8" s="141" t="s">
        <v>638</v>
      </c>
      <c r="E8" s="77" t="s">
        <v>634</v>
      </c>
      <c r="F8" s="140">
        <v>6347.25</v>
      </c>
      <c r="G8" s="69">
        <v>6347</v>
      </c>
      <c r="H8" s="133" t="s">
        <v>625</v>
      </c>
      <c r="I8" s="134">
        <f t="shared" si="0"/>
        <v>6347.25</v>
      </c>
      <c r="J8" s="135" t="s">
        <v>635</v>
      </c>
      <c r="K8" s="136">
        <f>F8</f>
        <v>6347.25</v>
      </c>
      <c r="L8" s="74">
        <v>2008</v>
      </c>
      <c r="M8" s="75">
        <v>40239</v>
      </c>
      <c r="N8" s="76">
        <v>40148</v>
      </c>
      <c r="O8" s="4"/>
      <c r="P8" s="4" t="s">
        <v>636</v>
      </c>
      <c r="Q8" s="4" t="s">
        <v>630</v>
      </c>
      <c r="R8" s="4"/>
      <c r="S8" t="s">
        <v>631</v>
      </c>
      <c r="T8" t="s">
        <v>630</v>
      </c>
      <c r="U8" s="4" t="s">
        <v>637</v>
      </c>
    </row>
    <row r="9" spans="1:38" ht="16.5" hidden="1" customHeight="1" x14ac:dyDescent="0.25">
      <c r="A9" s="96">
        <v>2010</v>
      </c>
      <c r="B9" s="96" t="s">
        <v>68</v>
      </c>
      <c r="C9" s="78">
        <v>38</v>
      </c>
      <c r="D9" s="141" t="s">
        <v>638</v>
      </c>
      <c r="E9" s="77" t="s">
        <v>634</v>
      </c>
      <c r="F9" s="140">
        <v>6347.25</v>
      </c>
      <c r="G9" s="69">
        <v>6347</v>
      </c>
      <c r="H9" s="133" t="s">
        <v>625</v>
      </c>
      <c r="I9" s="134">
        <f t="shared" si="0"/>
        <v>6347.25</v>
      </c>
      <c r="J9" s="135" t="s">
        <v>635</v>
      </c>
      <c r="K9" s="136">
        <f t="shared" ref="K9:K24" si="2">F9</f>
        <v>6347.25</v>
      </c>
      <c r="L9" s="74">
        <v>2007</v>
      </c>
      <c r="M9" s="75">
        <v>40239</v>
      </c>
      <c r="N9" s="76">
        <v>40179</v>
      </c>
      <c r="O9" s="4"/>
      <c r="P9" s="4" t="s">
        <v>636</v>
      </c>
      <c r="Q9" s="4" t="s">
        <v>630</v>
      </c>
      <c r="R9" s="4"/>
      <c r="S9" t="s">
        <v>631</v>
      </c>
      <c r="T9" t="s">
        <v>630</v>
      </c>
      <c r="U9" s="4" t="s">
        <v>637</v>
      </c>
    </row>
    <row r="10" spans="1:38" ht="16.5" hidden="1" customHeight="1" x14ac:dyDescent="0.25">
      <c r="A10" s="96">
        <v>2010</v>
      </c>
      <c r="B10" s="96" t="s">
        <v>68</v>
      </c>
      <c r="C10" s="78">
        <v>95</v>
      </c>
      <c r="D10" s="141" t="s">
        <v>638</v>
      </c>
      <c r="E10" s="77" t="s">
        <v>634</v>
      </c>
      <c r="F10" s="140">
        <v>5733</v>
      </c>
      <c r="G10" s="69">
        <v>5733</v>
      </c>
      <c r="H10" s="133" t="s">
        <v>625</v>
      </c>
      <c r="I10" s="134">
        <f t="shared" si="0"/>
        <v>5733</v>
      </c>
      <c r="J10" s="135" t="s">
        <v>635</v>
      </c>
      <c r="K10" s="136">
        <f t="shared" si="2"/>
        <v>5733</v>
      </c>
      <c r="L10" s="74">
        <v>2640</v>
      </c>
      <c r="M10" s="75">
        <v>40259</v>
      </c>
      <c r="N10" s="76">
        <v>40210</v>
      </c>
      <c r="O10" s="4"/>
      <c r="P10" s="4" t="s">
        <v>636</v>
      </c>
      <c r="Q10" s="4" t="s">
        <v>630</v>
      </c>
      <c r="R10" s="4"/>
      <c r="S10" t="s">
        <v>631</v>
      </c>
      <c r="T10" t="s">
        <v>630</v>
      </c>
      <c r="U10" s="4" t="s">
        <v>637</v>
      </c>
    </row>
    <row r="11" spans="1:38" ht="16.5" hidden="1" customHeight="1" x14ac:dyDescent="0.25">
      <c r="A11" s="96">
        <v>2010</v>
      </c>
      <c r="B11" s="96" t="s">
        <v>68</v>
      </c>
      <c r="C11" s="78">
        <v>139</v>
      </c>
      <c r="D11" s="141" t="s">
        <v>638</v>
      </c>
      <c r="E11" s="77" t="s">
        <v>634</v>
      </c>
      <c r="F11" s="140">
        <v>6347.25</v>
      </c>
      <c r="G11" s="69">
        <v>6347</v>
      </c>
      <c r="H11" s="133" t="s">
        <v>625</v>
      </c>
      <c r="I11" s="134">
        <f t="shared" si="0"/>
        <v>6347.25</v>
      </c>
      <c r="J11" s="135" t="s">
        <v>635</v>
      </c>
      <c r="K11" s="136">
        <f t="shared" si="2"/>
        <v>6347.25</v>
      </c>
      <c r="L11" s="74">
        <v>4090</v>
      </c>
      <c r="M11" s="75">
        <v>40310</v>
      </c>
      <c r="N11" s="76">
        <v>40238</v>
      </c>
      <c r="O11" s="4"/>
      <c r="P11" s="4" t="s">
        <v>636</v>
      </c>
      <c r="Q11" s="4" t="s">
        <v>630</v>
      </c>
      <c r="R11" s="4"/>
      <c r="S11" t="s">
        <v>631</v>
      </c>
      <c r="T11" t="s">
        <v>630</v>
      </c>
      <c r="U11" s="4" t="s">
        <v>637</v>
      </c>
    </row>
    <row r="12" spans="1:38" ht="16.5" hidden="1" customHeight="1" x14ac:dyDescent="0.25">
      <c r="A12" s="96">
        <v>2010</v>
      </c>
      <c r="B12" s="96" t="s">
        <v>68</v>
      </c>
      <c r="C12" s="78">
        <v>229</v>
      </c>
      <c r="D12" s="141" t="s">
        <v>638</v>
      </c>
      <c r="E12" s="77" t="s">
        <v>634</v>
      </c>
      <c r="F12" s="140">
        <v>6142.5</v>
      </c>
      <c r="G12" s="69">
        <v>6142.5</v>
      </c>
      <c r="H12" s="133" t="s">
        <v>625</v>
      </c>
      <c r="I12" s="134">
        <f t="shared" si="0"/>
        <v>6142.5</v>
      </c>
      <c r="J12" s="135" t="s">
        <v>635</v>
      </c>
      <c r="K12" s="136">
        <f t="shared" si="2"/>
        <v>6142.5</v>
      </c>
      <c r="L12" s="74">
        <v>6001</v>
      </c>
      <c r="M12" s="75">
        <v>40378</v>
      </c>
      <c r="N12" s="76">
        <v>40269</v>
      </c>
      <c r="O12" s="4"/>
      <c r="P12" s="4" t="s">
        <v>636</v>
      </c>
      <c r="Q12" s="4" t="s">
        <v>630</v>
      </c>
      <c r="R12" s="4"/>
      <c r="S12" t="s">
        <v>631</v>
      </c>
      <c r="T12" t="s">
        <v>630</v>
      </c>
      <c r="U12" s="4" t="s">
        <v>637</v>
      </c>
    </row>
    <row r="13" spans="1:38" ht="16.5" hidden="1" customHeight="1" x14ac:dyDescent="0.25">
      <c r="A13" s="96">
        <v>2010</v>
      </c>
      <c r="B13" s="96" t="s">
        <v>68</v>
      </c>
      <c r="C13" s="78">
        <v>232</v>
      </c>
      <c r="D13" s="141" t="s">
        <v>638</v>
      </c>
      <c r="E13" s="77" t="s">
        <v>634</v>
      </c>
      <c r="F13" s="140">
        <v>6347.25</v>
      </c>
      <c r="G13" s="69">
        <v>6347</v>
      </c>
      <c r="H13" s="133" t="s">
        <v>625</v>
      </c>
      <c r="I13" s="134">
        <f t="shared" si="0"/>
        <v>6347.25</v>
      </c>
      <c r="J13" s="135" t="s">
        <v>635</v>
      </c>
      <c r="K13" s="136">
        <f t="shared" si="2"/>
        <v>6347.25</v>
      </c>
      <c r="L13" s="74">
        <v>5993</v>
      </c>
      <c r="M13" s="75">
        <v>40378</v>
      </c>
      <c r="N13" s="76">
        <v>40330</v>
      </c>
      <c r="O13" s="4"/>
      <c r="P13" s="4" t="s">
        <v>636</v>
      </c>
      <c r="Q13" s="4" t="s">
        <v>630</v>
      </c>
      <c r="R13" s="4"/>
      <c r="S13" t="s">
        <v>631</v>
      </c>
      <c r="T13" t="s">
        <v>630</v>
      </c>
      <c r="U13" s="4" t="s">
        <v>637</v>
      </c>
    </row>
    <row r="14" spans="1:38" ht="16.5" hidden="1" customHeight="1" x14ac:dyDescent="0.25">
      <c r="A14" s="96">
        <v>2010</v>
      </c>
      <c r="B14" s="96" t="s">
        <v>68</v>
      </c>
      <c r="C14" s="78">
        <v>239</v>
      </c>
      <c r="D14" s="141" t="s">
        <v>638</v>
      </c>
      <c r="E14" s="77" t="s">
        <v>634</v>
      </c>
      <c r="F14" s="140">
        <v>6142.5</v>
      </c>
      <c r="G14" s="69">
        <v>6142.5</v>
      </c>
      <c r="H14" s="133" t="s">
        <v>625</v>
      </c>
      <c r="I14" s="134">
        <f t="shared" si="0"/>
        <v>6142.5</v>
      </c>
      <c r="J14" s="135" t="s">
        <v>635</v>
      </c>
      <c r="K14" s="136">
        <f t="shared" si="2"/>
        <v>6142.5</v>
      </c>
      <c r="L14" s="74">
        <v>5983</v>
      </c>
      <c r="M14" s="75">
        <v>40378</v>
      </c>
      <c r="N14" s="76">
        <v>40360</v>
      </c>
      <c r="O14" s="4"/>
      <c r="P14" s="4" t="s">
        <v>636</v>
      </c>
      <c r="Q14" s="4" t="s">
        <v>630</v>
      </c>
      <c r="R14" s="4"/>
      <c r="S14" t="s">
        <v>631</v>
      </c>
      <c r="T14" t="s">
        <v>630</v>
      </c>
      <c r="U14" s="4" t="s">
        <v>637</v>
      </c>
    </row>
    <row r="15" spans="1:38" ht="16.5" hidden="1" customHeight="1" x14ac:dyDescent="0.25">
      <c r="A15" s="96">
        <v>2010</v>
      </c>
      <c r="B15" s="96" t="s">
        <v>68</v>
      </c>
      <c r="C15" s="78">
        <v>268</v>
      </c>
      <c r="D15" s="141" t="s">
        <v>638</v>
      </c>
      <c r="E15" s="77" t="s">
        <v>634</v>
      </c>
      <c r="F15" s="140">
        <v>6347.25</v>
      </c>
      <c r="G15" s="69">
        <v>6347.25</v>
      </c>
      <c r="H15" s="133" t="s">
        <v>625</v>
      </c>
      <c r="I15" s="134">
        <f t="shared" si="0"/>
        <v>6347.25</v>
      </c>
      <c r="J15" s="135" t="s">
        <v>635</v>
      </c>
      <c r="K15" s="136">
        <f t="shared" si="2"/>
        <v>6347.25</v>
      </c>
      <c r="L15" s="74">
        <v>6999</v>
      </c>
      <c r="M15" s="75">
        <v>40434</v>
      </c>
      <c r="N15" s="76">
        <v>40360</v>
      </c>
      <c r="O15" s="4"/>
      <c r="P15" s="4" t="s">
        <v>636</v>
      </c>
      <c r="Q15" s="4" t="s">
        <v>630</v>
      </c>
      <c r="R15" s="4"/>
      <c r="S15" t="s">
        <v>631</v>
      </c>
      <c r="T15" t="s">
        <v>630</v>
      </c>
      <c r="U15" s="4" t="s">
        <v>637</v>
      </c>
    </row>
    <row r="16" spans="1:38" ht="16.5" hidden="1" customHeight="1" x14ac:dyDescent="0.25">
      <c r="A16" s="96">
        <v>2010</v>
      </c>
      <c r="B16" s="96" t="s">
        <v>68</v>
      </c>
      <c r="C16" s="78">
        <v>268</v>
      </c>
      <c r="D16" s="141" t="s">
        <v>638</v>
      </c>
      <c r="E16" s="77" t="s">
        <v>639</v>
      </c>
      <c r="F16" s="140">
        <v>423.15</v>
      </c>
      <c r="G16" s="69">
        <v>423.15</v>
      </c>
      <c r="H16" s="133" t="s">
        <v>625</v>
      </c>
      <c r="I16" s="134">
        <f t="shared" si="0"/>
        <v>423.15</v>
      </c>
      <c r="J16" s="135" t="s">
        <v>635</v>
      </c>
      <c r="K16" s="136">
        <f t="shared" si="2"/>
        <v>423.15</v>
      </c>
      <c r="L16" s="74">
        <v>7001</v>
      </c>
      <c r="M16" s="75">
        <v>40434</v>
      </c>
      <c r="N16" s="76">
        <v>40391</v>
      </c>
      <c r="O16" s="4"/>
      <c r="P16" s="4" t="s">
        <v>636</v>
      </c>
      <c r="Q16" s="4" t="s">
        <v>630</v>
      </c>
      <c r="R16" s="4"/>
      <c r="S16" t="s">
        <v>631</v>
      </c>
      <c r="T16" t="s">
        <v>630</v>
      </c>
      <c r="U16" s="4" t="s">
        <v>637</v>
      </c>
    </row>
    <row r="17" spans="1:21" ht="16.5" hidden="1" customHeight="1" x14ac:dyDescent="0.25">
      <c r="A17" s="96">
        <v>2010</v>
      </c>
      <c r="B17" s="96" t="s">
        <v>68</v>
      </c>
      <c r="C17" s="78">
        <v>283</v>
      </c>
      <c r="D17" s="141" t="s">
        <v>638</v>
      </c>
      <c r="E17" s="77" t="s">
        <v>634</v>
      </c>
      <c r="F17" s="140">
        <v>6347.25</v>
      </c>
      <c r="G17" s="69">
        <v>6347.25</v>
      </c>
      <c r="H17" s="133" t="s">
        <v>625</v>
      </c>
      <c r="I17" s="134">
        <f t="shared" si="0"/>
        <v>6347.25</v>
      </c>
      <c r="J17" s="135" t="s">
        <v>635</v>
      </c>
      <c r="K17" s="136">
        <f t="shared" si="2"/>
        <v>6347.25</v>
      </c>
      <c r="L17" s="74">
        <v>7644</v>
      </c>
      <c r="M17" s="75">
        <v>40453</v>
      </c>
      <c r="N17" s="76">
        <v>40391</v>
      </c>
      <c r="O17" s="4"/>
      <c r="P17" s="4" t="s">
        <v>636</v>
      </c>
      <c r="Q17" s="4" t="s">
        <v>630</v>
      </c>
      <c r="R17" s="4"/>
      <c r="S17" t="s">
        <v>631</v>
      </c>
      <c r="T17" t="s">
        <v>630</v>
      </c>
      <c r="U17" s="4" t="s">
        <v>637</v>
      </c>
    </row>
    <row r="18" spans="1:21" ht="16.5" hidden="1" customHeight="1" x14ac:dyDescent="0.25">
      <c r="A18" s="96">
        <v>2010</v>
      </c>
      <c r="B18" s="96" t="s">
        <v>68</v>
      </c>
      <c r="C18" s="78">
        <v>283</v>
      </c>
      <c r="D18" s="141" t="s">
        <v>638</v>
      </c>
      <c r="E18" s="77" t="s">
        <v>639</v>
      </c>
      <c r="F18" s="140">
        <v>423.15</v>
      </c>
      <c r="G18" s="69">
        <v>423.15</v>
      </c>
      <c r="H18" s="133" t="s">
        <v>625</v>
      </c>
      <c r="I18" s="134">
        <f t="shared" si="0"/>
        <v>423.15</v>
      </c>
      <c r="J18" s="135" t="s">
        <v>635</v>
      </c>
      <c r="K18" s="136">
        <f t="shared" si="2"/>
        <v>423.15</v>
      </c>
      <c r="L18" s="74">
        <v>7646</v>
      </c>
      <c r="M18" s="75">
        <v>40453</v>
      </c>
      <c r="N18" s="76">
        <v>40422</v>
      </c>
      <c r="O18" s="4"/>
      <c r="P18" s="4" t="s">
        <v>636</v>
      </c>
      <c r="Q18" s="4" t="s">
        <v>630</v>
      </c>
      <c r="R18" s="4"/>
      <c r="S18" t="s">
        <v>631</v>
      </c>
      <c r="T18" t="s">
        <v>630</v>
      </c>
      <c r="U18" s="4" t="s">
        <v>637</v>
      </c>
    </row>
    <row r="19" spans="1:21" ht="16.5" hidden="1" customHeight="1" x14ac:dyDescent="0.25">
      <c r="A19" s="96">
        <v>2010</v>
      </c>
      <c r="B19" s="96" t="s">
        <v>68</v>
      </c>
      <c r="C19" s="78">
        <v>316</v>
      </c>
      <c r="D19" s="141" t="s">
        <v>638</v>
      </c>
      <c r="E19" s="77" t="s">
        <v>634</v>
      </c>
      <c r="F19" s="140">
        <v>6142.5</v>
      </c>
      <c r="G19" s="69">
        <v>6142.5</v>
      </c>
      <c r="H19" s="133" t="s">
        <v>625</v>
      </c>
      <c r="I19" s="134">
        <f t="shared" si="0"/>
        <v>6142.5</v>
      </c>
      <c r="J19" s="135" t="s">
        <v>635</v>
      </c>
      <c r="K19" s="136">
        <f t="shared" si="2"/>
        <v>6142.5</v>
      </c>
      <c r="L19" s="74">
        <v>8329</v>
      </c>
      <c r="M19" s="75">
        <v>40478</v>
      </c>
      <c r="N19" s="76">
        <v>40422</v>
      </c>
      <c r="O19" s="4"/>
      <c r="P19" s="4" t="s">
        <v>636</v>
      </c>
      <c r="Q19" s="4" t="s">
        <v>630</v>
      </c>
      <c r="R19" s="4"/>
      <c r="S19" t="s">
        <v>631</v>
      </c>
      <c r="T19" t="s">
        <v>630</v>
      </c>
      <c r="U19" s="4" t="s">
        <v>637</v>
      </c>
    </row>
    <row r="20" spans="1:21" ht="16.5" hidden="1" customHeight="1" x14ac:dyDescent="0.25">
      <c r="A20" s="96">
        <v>2010</v>
      </c>
      <c r="B20" s="96" t="s">
        <v>68</v>
      </c>
      <c r="C20" s="78">
        <v>316</v>
      </c>
      <c r="D20" s="141" t="s">
        <v>638</v>
      </c>
      <c r="E20" s="77" t="s">
        <v>639</v>
      </c>
      <c r="F20" s="140">
        <v>409.5</v>
      </c>
      <c r="G20" s="69">
        <v>409.5</v>
      </c>
      <c r="H20" s="133" t="s">
        <v>625</v>
      </c>
      <c r="I20" s="134">
        <f t="shared" si="0"/>
        <v>409.5</v>
      </c>
      <c r="J20" s="135" t="s">
        <v>635</v>
      </c>
      <c r="K20" s="136">
        <f t="shared" si="2"/>
        <v>409.5</v>
      </c>
      <c r="L20" s="74">
        <v>8331</v>
      </c>
      <c r="M20" s="75">
        <v>40478</v>
      </c>
      <c r="N20" s="76">
        <v>40452</v>
      </c>
      <c r="O20" s="4"/>
      <c r="P20" s="4" t="s">
        <v>636</v>
      </c>
      <c r="Q20" s="4" t="s">
        <v>630</v>
      </c>
      <c r="R20" s="4"/>
      <c r="S20" t="s">
        <v>631</v>
      </c>
      <c r="T20" t="s">
        <v>630</v>
      </c>
      <c r="U20" s="4" t="s">
        <v>637</v>
      </c>
    </row>
    <row r="21" spans="1:21" ht="16.5" hidden="1" customHeight="1" x14ac:dyDescent="0.25">
      <c r="A21" s="96">
        <v>2010</v>
      </c>
      <c r="B21" s="96" t="s">
        <v>68</v>
      </c>
      <c r="C21" s="78">
        <v>347</v>
      </c>
      <c r="D21" s="141" t="s">
        <v>638</v>
      </c>
      <c r="E21" s="77" t="s">
        <v>634</v>
      </c>
      <c r="F21" s="140">
        <v>6347.25</v>
      </c>
      <c r="G21" s="69">
        <v>6347.25</v>
      </c>
      <c r="H21" s="133" t="s">
        <v>625</v>
      </c>
      <c r="I21" s="134">
        <f t="shared" si="0"/>
        <v>6347.25</v>
      </c>
      <c r="J21" s="135" t="s">
        <v>635</v>
      </c>
      <c r="K21" s="136">
        <f t="shared" si="2"/>
        <v>6347.25</v>
      </c>
      <c r="L21" s="74">
        <v>9451</v>
      </c>
      <c r="M21" s="75">
        <v>40519</v>
      </c>
      <c r="N21" s="76">
        <v>40452</v>
      </c>
      <c r="O21" s="4"/>
      <c r="P21" s="4" t="s">
        <v>636</v>
      </c>
      <c r="Q21" s="4" t="s">
        <v>630</v>
      </c>
      <c r="R21" s="4"/>
      <c r="S21" t="s">
        <v>631</v>
      </c>
      <c r="T21" t="s">
        <v>630</v>
      </c>
      <c r="U21" s="4" t="s">
        <v>637</v>
      </c>
    </row>
    <row r="22" spans="1:21" ht="16.5" hidden="1" customHeight="1" x14ac:dyDescent="0.25">
      <c r="A22" s="96">
        <v>2010</v>
      </c>
      <c r="B22" s="96" t="s">
        <v>68</v>
      </c>
      <c r="C22" s="78">
        <v>347</v>
      </c>
      <c r="D22" s="141" t="s">
        <v>638</v>
      </c>
      <c r="E22" s="77" t="s">
        <v>639</v>
      </c>
      <c r="F22" s="140">
        <v>423.15</v>
      </c>
      <c r="G22" s="69">
        <v>423.15</v>
      </c>
      <c r="H22" s="133" t="s">
        <v>625</v>
      </c>
      <c r="I22" s="134">
        <f t="shared" si="0"/>
        <v>423.15</v>
      </c>
      <c r="J22" s="135" t="s">
        <v>635</v>
      </c>
      <c r="K22" s="136">
        <f t="shared" si="2"/>
        <v>423.15</v>
      </c>
      <c r="L22" s="74">
        <v>9449</v>
      </c>
      <c r="M22" s="75">
        <v>40519</v>
      </c>
      <c r="N22" s="76">
        <v>40483</v>
      </c>
      <c r="O22" s="4"/>
      <c r="P22" s="4" t="s">
        <v>636</v>
      </c>
      <c r="Q22" s="4" t="s">
        <v>630</v>
      </c>
      <c r="R22" s="4"/>
      <c r="S22" t="s">
        <v>631</v>
      </c>
      <c r="T22" t="s">
        <v>630</v>
      </c>
      <c r="U22" s="4" t="s">
        <v>637</v>
      </c>
    </row>
    <row r="23" spans="1:21" s="18" customFormat="1" ht="16.5" hidden="1" customHeight="1" x14ac:dyDescent="0.25">
      <c r="A23" s="96">
        <v>2010</v>
      </c>
      <c r="B23" s="96" t="s">
        <v>68</v>
      </c>
      <c r="C23" s="78">
        <v>369</v>
      </c>
      <c r="D23" s="141" t="s">
        <v>638</v>
      </c>
      <c r="E23" s="77" t="s">
        <v>634</v>
      </c>
      <c r="F23" s="140">
        <v>6142.5</v>
      </c>
      <c r="G23" s="69">
        <v>6142.5</v>
      </c>
      <c r="H23" s="133" t="s">
        <v>625</v>
      </c>
      <c r="I23" s="134">
        <f t="shared" si="0"/>
        <v>6142.5</v>
      </c>
      <c r="J23" s="135" t="s">
        <v>635</v>
      </c>
      <c r="K23" s="136">
        <f t="shared" si="2"/>
        <v>6142.5</v>
      </c>
      <c r="L23" s="74">
        <v>482</v>
      </c>
      <c r="M23" s="75">
        <v>40562</v>
      </c>
      <c r="N23" s="76">
        <v>40483</v>
      </c>
      <c r="P23" s="4" t="s">
        <v>636</v>
      </c>
      <c r="Q23" s="4" t="s">
        <v>630</v>
      </c>
      <c r="R23" s="4"/>
      <c r="S23" t="s">
        <v>631</v>
      </c>
      <c r="T23" t="s">
        <v>630</v>
      </c>
      <c r="U23" s="4" t="s">
        <v>637</v>
      </c>
    </row>
    <row r="24" spans="1:21" ht="16.5" hidden="1" customHeight="1" x14ac:dyDescent="0.25">
      <c r="A24" s="96">
        <v>2010</v>
      </c>
      <c r="B24" s="96" t="s">
        <v>68</v>
      </c>
      <c r="C24" s="78">
        <v>369</v>
      </c>
      <c r="D24" s="141" t="s">
        <v>638</v>
      </c>
      <c r="E24" s="77" t="s">
        <v>639</v>
      </c>
      <c r="F24" s="140">
        <v>409.5</v>
      </c>
      <c r="G24" s="69">
        <v>409.5</v>
      </c>
      <c r="H24" s="133" t="s">
        <v>625</v>
      </c>
      <c r="I24" s="134">
        <f t="shared" si="0"/>
        <v>409.5</v>
      </c>
      <c r="J24" s="135" t="s">
        <v>635</v>
      </c>
      <c r="K24" s="136">
        <f t="shared" si="2"/>
        <v>409.5</v>
      </c>
      <c r="L24" s="74">
        <v>484</v>
      </c>
      <c r="M24" s="75">
        <v>40562</v>
      </c>
      <c r="N24" s="76">
        <v>40513</v>
      </c>
      <c r="O24" s="4"/>
      <c r="P24" s="4" t="s">
        <v>636</v>
      </c>
      <c r="Q24" s="4" t="s">
        <v>630</v>
      </c>
      <c r="R24" s="4"/>
      <c r="S24" t="s">
        <v>631</v>
      </c>
      <c r="T24" t="s">
        <v>630</v>
      </c>
      <c r="U24" s="4" t="s">
        <v>637</v>
      </c>
    </row>
    <row r="25" spans="1:21" ht="15" hidden="1" customHeight="1" x14ac:dyDescent="0.25">
      <c r="A25" s="142">
        <v>2011</v>
      </c>
      <c r="B25" s="96" t="s">
        <v>68</v>
      </c>
      <c r="C25" s="78">
        <v>18</v>
      </c>
      <c r="D25" s="143">
        <v>11</v>
      </c>
      <c r="E25" s="68" t="s">
        <v>634</v>
      </c>
      <c r="F25" s="144">
        <v>6347.25</v>
      </c>
      <c r="G25" s="69">
        <v>6347.25</v>
      </c>
      <c r="H25" s="133" t="s">
        <v>625</v>
      </c>
      <c r="I25" s="134">
        <f t="shared" si="0"/>
        <v>6347.25</v>
      </c>
      <c r="J25" s="135" t="s">
        <v>635</v>
      </c>
      <c r="K25" s="136">
        <f>F25</f>
        <v>6347.25</v>
      </c>
      <c r="L25" s="74">
        <v>1421</v>
      </c>
      <c r="M25" s="145">
        <v>40589</v>
      </c>
      <c r="N25" s="76">
        <v>40513</v>
      </c>
      <c r="O25" s="4"/>
      <c r="P25" s="4" t="s">
        <v>636</v>
      </c>
      <c r="Q25" s="4" t="s">
        <v>630</v>
      </c>
      <c r="R25" s="4"/>
      <c r="S25" t="s">
        <v>631</v>
      </c>
      <c r="T25" t="s">
        <v>630</v>
      </c>
      <c r="U25" s="4" t="s">
        <v>637</v>
      </c>
    </row>
    <row r="26" spans="1:21" ht="15" hidden="1" customHeight="1" x14ac:dyDescent="0.25">
      <c r="A26" s="142">
        <v>2011</v>
      </c>
      <c r="B26" s="96" t="s">
        <v>68</v>
      </c>
      <c r="C26" s="78">
        <v>107</v>
      </c>
      <c r="D26" s="143">
        <v>11</v>
      </c>
      <c r="E26" s="68" t="s">
        <v>634</v>
      </c>
      <c r="F26" s="146">
        <v>12080.25</v>
      </c>
      <c r="G26" s="69">
        <v>12080.25</v>
      </c>
      <c r="H26" s="133" t="s">
        <v>625</v>
      </c>
      <c r="I26" s="134">
        <f t="shared" si="0"/>
        <v>12080.25</v>
      </c>
      <c r="J26" s="135" t="s">
        <v>635</v>
      </c>
      <c r="K26" s="136">
        <f t="shared" ref="K26:K34" si="3">F26</f>
        <v>12080.25</v>
      </c>
      <c r="L26" s="74">
        <v>2927</v>
      </c>
      <c r="M26" s="145">
        <v>40641</v>
      </c>
      <c r="N26" s="76" t="s">
        <v>640</v>
      </c>
      <c r="O26" s="4"/>
      <c r="P26" s="4" t="s">
        <v>636</v>
      </c>
      <c r="Q26" s="4" t="s">
        <v>630</v>
      </c>
      <c r="R26" s="4"/>
      <c r="S26" t="s">
        <v>631</v>
      </c>
      <c r="T26" t="s">
        <v>630</v>
      </c>
      <c r="U26" s="4" t="s">
        <v>637</v>
      </c>
    </row>
    <row r="27" spans="1:21" ht="15" hidden="1" customHeight="1" x14ac:dyDescent="0.25">
      <c r="A27" s="142">
        <v>2011</v>
      </c>
      <c r="B27" s="96" t="s">
        <v>68</v>
      </c>
      <c r="C27" s="78">
        <v>107</v>
      </c>
      <c r="D27" s="143">
        <v>11</v>
      </c>
      <c r="E27" s="68" t="s">
        <v>639</v>
      </c>
      <c r="F27" s="146">
        <v>805.35</v>
      </c>
      <c r="G27" s="69">
        <v>805.35</v>
      </c>
      <c r="H27" s="133" t="s">
        <v>625</v>
      </c>
      <c r="I27" s="134">
        <f t="shared" si="0"/>
        <v>805.35</v>
      </c>
      <c r="J27" s="135" t="s">
        <v>635</v>
      </c>
      <c r="K27" s="136">
        <f t="shared" si="3"/>
        <v>805.35</v>
      </c>
      <c r="L27" s="74">
        <v>2924</v>
      </c>
      <c r="M27" s="145">
        <v>40641</v>
      </c>
      <c r="N27" s="76" t="s">
        <v>640</v>
      </c>
      <c r="O27" s="4"/>
      <c r="P27" s="4" t="s">
        <v>636</v>
      </c>
      <c r="Q27" s="4" t="s">
        <v>630</v>
      </c>
      <c r="R27" s="4"/>
      <c r="S27" t="s">
        <v>631</v>
      </c>
      <c r="T27" t="s">
        <v>630</v>
      </c>
      <c r="U27" s="4" t="s">
        <v>637</v>
      </c>
    </row>
    <row r="28" spans="1:21" ht="15" hidden="1" customHeight="1" x14ac:dyDescent="0.25">
      <c r="A28" s="142">
        <v>2011</v>
      </c>
      <c r="B28" s="96" t="s">
        <v>68</v>
      </c>
      <c r="C28" s="78">
        <v>130</v>
      </c>
      <c r="D28" s="143">
        <v>11</v>
      </c>
      <c r="E28" s="68" t="s">
        <v>634</v>
      </c>
      <c r="F28" s="146">
        <v>6347.25</v>
      </c>
      <c r="G28" s="69">
        <v>6347.25</v>
      </c>
      <c r="H28" s="133" t="s">
        <v>625</v>
      </c>
      <c r="I28" s="134">
        <f t="shared" si="0"/>
        <v>6347.25</v>
      </c>
      <c r="J28" s="135" t="s">
        <v>635</v>
      </c>
      <c r="K28" s="136">
        <f t="shared" si="3"/>
        <v>6347.25</v>
      </c>
      <c r="L28" s="74">
        <v>3558</v>
      </c>
      <c r="M28" s="145">
        <v>40666</v>
      </c>
      <c r="N28" s="76">
        <v>40603</v>
      </c>
      <c r="O28" s="4"/>
      <c r="P28" s="4" t="s">
        <v>636</v>
      </c>
      <c r="Q28" s="4" t="s">
        <v>630</v>
      </c>
      <c r="R28" s="4"/>
      <c r="S28" t="s">
        <v>631</v>
      </c>
      <c r="T28" t="s">
        <v>630</v>
      </c>
      <c r="U28" s="4" t="s">
        <v>637</v>
      </c>
    </row>
    <row r="29" spans="1:21" ht="15" hidden="1" customHeight="1" x14ac:dyDescent="0.25">
      <c r="A29" s="142">
        <v>2011</v>
      </c>
      <c r="B29" s="96" t="s">
        <v>68</v>
      </c>
      <c r="C29" s="78">
        <v>206</v>
      </c>
      <c r="D29" s="143">
        <v>11</v>
      </c>
      <c r="E29" s="68" t="s">
        <v>634</v>
      </c>
      <c r="F29" s="144">
        <v>18632.25</v>
      </c>
      <c r="G29" s="69">
        <v>18632.25</v>
      </c>
      <c r="H29" s="133" t="s">
        <v>625</v>
      </c>
      <c r="I29" s="134">
        <f t="shared" si="0"/>
        <v>18632.25</v>
      </c>
      <c r="J29" s="135" t="s">
        <v>635</v>
      </c>
      <c r="K29" s="136">
        <f t="shared" si="3"/>
        <v>18632.25</v>
      </c>
      <c r="L29" s="74">
        <v>6285</v>
      </c>
      <c r="M29" s="145">
        <v>40771</v>
      </c>
      <c r="N29" s="76" t="s">
        <v>641</v>
      </c>
      <c r="O29" s="4"/>
      <c r="P29" s="4" t="s">
        <v>636</v>
      </c>
      <c r="Q29" s="4" t="s">
        <v>630</v>
      </c>
      <c r="R29" s="4"/>
      <c r="S29" t="s">
        <v>631</v>
      </c>
      <c r="T29" t="s">
        <v>630</v>
      </c>
      <c r="U29" s="4" t="s">
        <v>637</v>
      </c>
    </row>
    <row r="30" spans="1:21" ht="15" hidden="1" customHeight="1" x14ac:dyDescent="0.25">
      <c r="A30" s="142">
        <v>2011</v>
      </c>
      <c r="B30" s="96" t="s">
        <v>68</v>
      </c>
      <c r="C30" s="78">
        <v>206</v>
      </c>
      <c r="D30" s="147">
        <v>11</v>
      </c>
      <c r="E30" s="68" t="s">
        <v>639</v>
      </c>
      <c r="F30" s="144">
        <v>3447.53</v>
      </c>
      <c r="G30" s="69">
        <v>3447.53</v>
      </c>
      <c r="H30" s="133" t="s">
        <v>625</v>
      </c>
      <c r="I30" s="148">
        <f t="shared" si="0"/>
        <v>3447.53</v>
      </c>
      <c r="J30" s="135" t="s">
        <v>635</v>
      </c>
      <c r="K30" s="136">
        <f t="shared" si="3"/>
        <v>3447.53</v>
      </c>
      <c r="L30" s="79">
        <v>6287</v>
      </c>
      <c r="M30" s="81">
        <v>40771</v>
      </c>
      <c r="N30" s="80" t="s">
        <v>641</v>
      </c>
      <c r="O30" s="4"/>
      <c r="P30" s="4" t="s">
        <v>636</v>
      </c>
      <c r="Q30" s="4" t="s">
        <v>630</v>
      </c>
      <c r="R30" s="4"/>
      <c r="S30" t="s">
        <v>631</v>
      </c>
      <c r="T30" t="s">
        <v>630</v>
      </c>
      <c r="U30" s="4" t="s">
        <v>637</v>
      </c>
    </row>
    <row r="31" spans="1:21" ht="15" hidden="1" customHeight="1" x14ac:dyDescent="0.25">
      <c r="A31" s="142">
        <v>2011</v>
      </c>
      <c r="B31" s="96" t="s">
        <v>68</v>
      </c>
      <c r="C31" s="78">
        <v>259</v>
      </c>
      <c r="D31" s="143">
        <v>11</v>
      </c>
      <c r="E31" s="68" t="s">
        <v>639</v>
      </c>
      <c r="F31" s="144">
        <v>5689.78</v>
      </c>
      <c r="G31" s="69">
        <v>5689.78</v>
      </c>
      <c r="H31" s="133" t="s">
        <v>625</v>
      </c>
      <c r="I31" s="134">
        <f t="shared" si="0"/>
        <v>5689.78</v>
      </c>
      <c r="J31" s="135" t="s">
        <v>635</v>
      </c>
      <c r="K31" s="136">
        <f t="shared" si="3"/>
        <v>5689.78</v>
      </c>
      <c r="L31" s="74">
        <v>7678</v>
      </c>
      <c r="M31" s="145">
        <v>40820</v>
      </c>
      <c r="N31" s="80" t="s">
        <v>642</v>
      </c>
      <c r="O31" s="4"/>
      <c r="P31" s="4" t="s">
        <v>636</v>
      </c>
      <c r="Q31" s="4" t="s">
        <v>630</v>
      </c>
      <c r="R31" s="4"/>
      <c r="S31" t="s">
        <v>631</v>
      </c>
      <c r="T31" t="s">
        <v>630</v>
      </c>
      <c r="U31" s="4" t="s">
        <v>637</v>
      </c>
    </row>
    <row r="32" spans="1:21" ht="15" hidden="1" customHeight="1" x14ac:dyDescent="0.25">
      <c r="A32" s="142">
        <v>2011</v>
      </c>
      <c r="B32" s="96" t="s">
        <v>68</v>
      </c>
      <c r="C32" s="78">
        <v>315</v>
      </c>
      <c r="D32" s="143">
        <v>11</v>
      </c>
      <c r="E32" s="68" t="s">
        <v>639</v>
      </c>
      <c r="F32" s="144">
        <v>2934.75</v>
      </c>
      <c r="G32" s="69">
        <v>2934.75</v>
      </c>
      <c r="H32" s="133" t="s">
        <v>625</v>
      </c>
      <c r="I32" s="134">
        <f t="shared" si="0"/>
        <v>2934.75</v>
      </c>
      <c r="J32" s="135" t="s">
        <v>635</v>
      </c>
      <c r="K32" s="136">
        <f t="shared" si="3"/>
        <v>2934.75</v>
      </c>
      <c r="L32" s="74">
        <v>8965</v>
      </c>
      <c r="M32" s="81">
        <v>40863</v>
      </c>
      <c r="N32" s="82">
        <v>40787</v>
      </c>
      <c r="O32" s="4"/>
      <c r="P32" s="4" t="s">
        <v>636</v>
      </c>
      <c r="Q32" s="4" t="s">
        <v>630</v>
      </c>
      <c r="R32" s="4"/>
      <c r="S32" t="s">
        <v>631</v>
      </c>
      <c r="T32" t="s">
        <v>630</v>
      </c>
      <c r="U32" s="4" t="s">
        <v>637</v>
      </c>
    </row>
    <row r="33" spans="1:23" ht="15" hidden="1" customHeight="1" x14ac:dyDescent="0.25">
      <c r="A33" s="142">
        <v>2011</v>
      </c>
      <c r="B33" s="96" t="s">
        <v>68</v>
      </c>
      <c r="C33" s="78">
        <v>331</v>
      </c>
      <c r="D33" s="143">
        <v>11</v>
      </c>
      <c r="E33" s="68" t="s">
        <v>639</v>
      </c>
      <c r="F33" s="144">
        <v>3032.58</v>
      </c>
      <c r="G33" s="69">
        <v>3032.58</v>
      </c>
      <c r="H33" s="133" t="s">
        <v>625</v>
      </c>
      <c r="I33" s="134">
        <f t="shared" si="0"/>
        <v>3032.58</v>
      </c>
      <c r="J33" s="135" t="s">
        <v>635</v>
      </c>
      <c r="K33" s="136">
        <f t="shared" si="3"/>
        <v>3032.58</v>
      </c>
      <c r="L33" s="74">
        <v>9179</v>
      </c>
      <c r="M33" s="145">
        <v>40871</v>
      </c>
      <c r="N33" s="149">
        <v>40817</v>
      </c>
      <c r="O33" s="4"/>
      <c r="P33" s="4" t="s">
        <v>636</v>
      </c>
      <c r="Q33" s="4" t="s">
        <v>630</v>
      </c>
      <c r="R33" s="4"/>
      <c r="S33" t="s">
        <v>631</v>
      </c>
      <c r="T33" t="s">
        <v>630</v>
      </c>
      <c r="U33" s="4" t="s">
        <v>637</v>
      </c>
    </row>
    <row r="34" spans="1:23" ht="15" hidden="1" customHeight="1" x14ac:dyDescent="0.25">
      <c r="A34" s="142">
        <v>2011</v>
      </c>
      <c r="B34" s="96" t="s">
        <v>68</v>
      </c>
      <c r="C34" s="78">
        <v>423</v>
      </c>
      <c r="D34" s="143">
        <v>11</v>
      </c>
      <c r="E34" s="68" t="s">
        <v>639</v>
      </c>
      <c r="F34" s="144">
        <v>2934.75</v>
      </c>
      <c r="G34" s="69">
        <v>2934.75</v>
      </c>
      <c r="H34" s="133" t="s">
        <v>625</v>
      </c>
      <c r="I34" s="134">
        <f t="shared" si="0"/>
        <v>2934.75</v>
      </c>
      <c r="J34" s="135" t="s">
        <v>635</v>
      </c>
      <c r="K34" s="136">
        <f t="shared" si="3"/>
        <v>2934.75</v>
      </c>
      <c r="L34" s="74">
        <v>742</v>
      </c>
      <c r="M34" s="145">
        <v>40567</v>
      </c>
      <c r="N34" s="82">
        <v>40848</v>
      </c>
      <c r="O34" s="4"/>
      <c r="P34" s="4" t="s">
        <v>636</v>
      </c>
      <c r="Q34" s="4" t="s">
        <v>630</v>
      </c>
      <c r="R34" s="4"/>
      <c r="S34" t="s">
        <v>631</v>
      </c>
      <c r="T34" t="s">
        <v>630</v>
      </c>
      <c r="U34" s="4" t="s">
        <v>637</v>
      </c>
    </row>
    <row r="35" spans="1:23" ht="12.75" hidden="1" customHeight="1" x14ac:dyDescent="0.25">
      <c r="A35" s="150">
        <v>2011</v>
      </c>
      <c r="B35" s="151" t="s">
        <v>122</v>
      </c>
      <c r="C35" s="152">
        <v>416</v>
      </c>
      <c r="D35" s="78">
        <v>11</v>
      </c>
      <c r="E35" s="153" t="s">
        <v>643</v>
      </c>
      <c r="F35" s="154">
        <v>13116208</v>
      </c>
      <c r="G35" s="155">
        <v>8568489</v>
      </c>
      <c r="H35" s="156" t="s">
        <v>667</v>
      </c>
      <c r="I35" s="157">
        <f>21957598.66-5757217.54-455557.58</f>
        <v>15744823.540000001</v>
      </c>
      <c r="J35" s="158" t="s">
        <v>644</v>
      </c>
      <c r="K35" s="155">
        <v>0</v>
      </c>
      <c r="L35" s="159" t="s">
        <v>645</v>
      </c>
      <c r="M35" s="133"/>
      <c r="N35" s="160"/>
      <c r="O35" s="4"/>
      <c r="P35" s="4"/>
      <c r="Q35" s="4" t="s">
        <v>630</v>
      </c>
      <c r="R35" s="4"/>
      <c r="S35" t="s">
        <v>646</v>
      </c>
      <c r="T35" t="s">
        <v>630</v>
      </c>
    </row>
    <row r="36" spans="1:23" ht="15" hidden="1" customHeight="1" x14ac:dyDescent="0.25">
      <c r="A36" s="142">
        <v>2012</v>
      </c>
      <c r="B36" s="96" t="s">
        <v>68</v>
      </c>
      <c r="C36" s="78">
        <v>5</v>
      </c>
      <c r="D36" s="143">
        <v>12</v>
      </c>
      <c r="E36" s="68" t="s">
        <v>639</v>
      </c>
      <c r="F36" s="144">
        <f>11894.47-8861.89</f>
        <v>3032.58</v>
      </c>
      <c r="G36" s="69">
        <v>3032.58</v>
      </c>
      <c r="H36" s="133" t="s">
        <v>625</v>
      </c>
      <c r="I36" s="134">
        <f t="shared" ref="I36:I47" si="4">F36</f>
        <v>3032.58</v>
      </c>
      <c r="J36" s="135" t="s">
        <v>635</v>
      </c>
      <c r="K36" s="136">
        <f t="shared" ref="K36:K47" si="5">F36</f>
        <v>3032.58</v>
      </c>
      <c r="L36" s="74">
        <v>1126</v>
      </c>
      <c r="M36" s="145">
        <v>40941</v>
      </c>
      <c r="N36" s="149">
        <v>40878</v>
      </c>
      <c r="O36" s="4"/>
      <c r="P36" s="4" t="s">
        <v>636</v>
      </c>
      <c r="Q36" s="4" t="s">
        <v>630</v>
      </c>
      <c r="R36" s="4"/>
      <c r="S36" t="s">
        <v>631</v>
      </c>
      <c r="T36" t="s">
        <v>630</v>
      </c>
      <c r="U36" s="4" t="s">
        <v>637</v>
      </c>
    </row>
    <row r="37" spans="1:23" ht="15" hidden="1" customHeight="1" x14ac:dyDescent="0.25">
      <c r="A37" s="142">
        <v>2012</v>
      </c>
      <c r="B37" s="96" t="s">
        <v>68</v>
      </c>
      <c r="C37" s="78">
        <v>46</v>
      </c>
      <c r="D37" s="143">
        <v>12</v>
      </c>
      <c r="E37" s="68" t="s">
        <v>639</v>
      </c>
      <c r="F37" s="144">
        <f>6184.82-3152.24</f>
        <v>3032.58</v>
      </c>
      <c r="G37" s="69">
        <v>3032.58</v>
      </c>
      <c r="H37" s="133" t="s">
        <v>625</v>
      </c>
      <c r="I37" s="134">
        <f t="shared" si="4"/>
        <v>3032.58</v>
      </c>
      <c r="J37" s="135" t="s">
        <v>635</v>
      </c>
      <c r="K37" s="136">
        <f t="shared" si="5"/>
        <v>3032.58</v>
      </c>
      <c r="L37" s="74">
        <v>1702</v>
      </c>
      <c r="M37" s="145">
        <v>40959</v>
      </c>
      <c r="N37" s="149">
        <v>40909</v>
      </c>
      <c r="O37" s="4"/>
      <c r="P37" s="4" t="s">
        <v>636</v>
      </c>
      <c r="Q37" s="4" t="s">
        <v>630</v>
      </c>
      <c r="R37" s="4"/>
      <c r="S37" t="s">
        <v>631</v>
      </c>
      <c r="T37" t="s">
        <v>630</v>
      </c>
      <c r="U37" s="4" t="s">
        <v>637</v>
      </c>
    </row>
    <row r="38" spans="1:23" ht="15" hidden="1" customHeight="1" x14ac:dyDescent="0.25">
      <c r="A38" s="142">
        <v>2012</v>
      </c>
      <c r="B38" s="96" t="s">
        <v>68</v>
      </c>
      <c r="C38" s="78">
        <v>85</v>
      </c>
      <c r="D38" s="143">
        <v>12</v>
      </c>
      <c r="E38" s="68" t="s">
        <v>639</v>
      </c>
      <c r="F38" s="144">
        <f>6020.1-3183.18</f>
        <v>2836.9200000000005</v>
      </c>
      <c r="G38" s="69">
        <v>2836.9200000000005</v>
      </c>
      <c r="H38" s="133" t="s">
        <v>625</v>
      </c>
      <c r="I38" s="134">
        <f t="shared" si="4"/>
        <v>2836.9200000000005</v>
      </c>
      <c r="J38" s="135" t="s">
        <v>635</v>
      </c>
      <c r="K38" s="136">
        <f t="shared" si="5"/>
        <v>2836.9200000000005</v>
      </c>
      <c r="L38" s="74">
        <v>2382</v>
      </c>
      <c r="M38" s="145">
        <v>40977</v>
      </c>
      <c r="N38" s="149">
        <v>40940</v>
      </c>
      <c r="O38" s="4"/>
      <c r="P38" s="4" t="s">
        <v>636</v>
      </c>
      <c r="Q38" s="4" t="s">
        <v>630</v>
      </c>
      <c r="R38" s="4"/>
      <c r="S38" t="s">
        <v>631</v>
      </c>
      <c r="T38" t="s">
        <v>630</v>
      </c>
      <c r="U38" s="4" t="s">
        <v>637</v>
      </c>
    </row>
    <row r="39" spans="1:23" ht="15" hidden="1" customHeight="1" x14ac:dyDescent="0.25">
      <c r="A39" s="142">
        <v>2012</v>
      </c>
      <c r="B39" s="96" t="s">
        <v>68</v>
      </c>
      <c r="C39" s="78">
        <v>129</v>
      </c>
      <c r="D39" s="143">
        <v>12</v>
      </c>
      <c r="E39" s="68" t="s">
        <v>639</v>
      </c>
      <c r="F39" s="144">
        <f>6863.87-3831.29</f>
        <v>3032.58</v>
      </c>
      <c r="G39" s="69">
        <v>3032.58</v>
      </c>
      <c r="H39" s="133" t="s">
        <v>625</v>
      </c>
      <c r="I39" s="134">
        <f t="shared" si="4"/>
        <v>3032.58</v>
      </c>
      <c r="J39" s="135" t="s">
        <v>635</v>
      </c>
      <c r="K39" s="136">
        <f t="shared" si="5"/>
        <v>3032.58</v>
      </c>
      <c r="L39" s="74">
        <v>4608</v>
      </c>
      <c r="M39" s="145">
        <v>41045</v>
      </c>
      <c r="N39" s="149">
        <v>40969</v>
      </c>
      <c r="O39" s="4"/>
      <c r="P39" s="4" t="s">
        <v>636</v>
      </c>
      <c r="Q39" s="4" t="s">
        <v>630</v>
      </c>
      <c r="R39" s="4"/>
      <c r="S39" t="s">
        <v>631</v>
      </c>
      <c r="T39" t="s">
        <v>630</v>
      </c>
      <c r="U39" s="4" t="s">
        <v>637</v>
      </c>
    </row>
    <row r="40" spans="1:23" ht="15" hidden="1" customHeight="1" x14ac:dyDescent="0.25">
      <c r="A40" s="142">
        <v>2012</v>
      </c>
      <c r="B40" s="96" t="s">
        <v>68</v>
      </c>
      <c r="C40" s="78">
        <v>162</v>
      </c>
      <c r="D40" s="161">
        <v>12</v>
      </c>
      <c r="E40" s="68" t="s">
        <v>639</v>
      </c>
      <c r="F40" s="144">
        <f>5723.54-2788.79</f>
        <v>2934.75</v>
      </c>
      <c r="G40" s="69">
        <v>2934.75</v>
      </c>
      <c r="H40" s="133" t="s">
        <v>625</v>
      </c>
      <c r="I40" s="134">
        <f t="shared" si="4"/>
        <v>2934.75</v>
      </c>
      <c r="J40" s="135" t="s">
        <v>635</v>
      </c>
      <c r="K40" s="136">
        <f t="shared" si="5"/>
        <v>2934.75</v>
      </c>
      <c r="L40" s="74">
        <v>5076</v>
      </c>
      <c r="M40" s="145">
        <v>41058</v>
      </c>
      <c r="N40" s="149">
        <v>41000</v>
      </c>
      <c r="O40" s="4"/>
      <c r="P40" s="4" t="s">
        <v>636</v>
      </c>
      <c r="Q40" s="4" t="s">
        <v>630</v>
      </c>
      <c r="R40" s="4"/>
      <c r="S40" t="s">
        <v>631</v>
      </c>
      <c r="T40" t="s">
        <v>630</v>
      </c>
      <c r="U40" s="4" t="s">
        <v>637</v>
      </c>
    </row>
    <row r="41" spans="1:23" ht="15" hidden="1" customHeight="1" x14ac:dyDescent="0.25">
      <c r="A41" s="142">
        <v>2012</v>
      </c>
      <c r="B41" s="96" t="s">
        <v>68</v>
      </c>
      <c r="C41" s="78">
        <v>181</v>
      </c>
      <c r="D41" s="143">
        <v>12</v>
      </c>
      <c r="E41" s="68" t="s">
        <v>639</v>
      </c>
      <c r="F41" s="144">
        <f>7239.69-4207.11</f>
        <v>3032.58</v>
      </c>
      <c r="G41" s="69">
        <v>3032.58</v>
      </c>
      <c r="H41" s="133" t="s">
        <v>625</v>
      </c>
      <c r="I41" s="134">
        <f t="shared" si="4"/>
        <v>3032.58</v>
      </c>
      <c r="J41" s="135" t="s">
        <v>635</v>
      </c>
      <c r="K41" s="136">
        <f t="shared" si="5"/>
        <v>3032.58</v>
      </c>
      <c r="L41" s="74">
        <v>5656</v>
      </c>
      <c r="M41" s="145">
        <v>41075</v>
      </c>
      <c r="N41" s="149">
        <v>41030</v>
      </c>
      <c r="O41" s="4"/>
      <c r="P41" s="4" t="s">
        <v>636</v>
      </c>
      <c r="Q41" s="4" t="s">
        <v>630</v>
      </c>
      <c r="R41" s="4"/>
      <c r="S41" t="s">
        <v>631</v>
      </c>
      <c r="T41" t="s">
        <v>630</v>
      </c>
      <c r="U41" s="4" t="s">
        <v>637</v>
      </c>
    </row>
    <row r="42" spans="1:23" ht="15" hidden="1" customHeight="1" x14ac:dyDescent="0.25">
      <c r="A42" s="142">
        <v>2012</v>
      </c>
      <c r="B42" s="96" t="s">
        <v>68</v>
      </c>
      <c r="C42" s="78">
        <v>215</v>
      </c>
      <c r="D42" s="143">
        <v>12</v>
      </c>
      <c r="E42" s="68" t="s">
        <v>639</v>
      </c>
      <c r="F42" s="144">
        <f>7800.51-6250.33</f>
        <v>1550.1800000000003</v>
      </c>
      <c r="G42" s="69">
        <v>1550.1800000000003</v>
      </c>
      <c r="H42" s="133" t="s">
        <v>625</v>
      </c>
      <c r="I42" s="134">
        <f t="shared" si="4"/>
        <v>1550.1800000000003</v>
      </c>
      <c r="J42" s="135" t="s">
        <v>635</v>
      </c>
      <c r="K42" s="136">
        <f t="shared" si="5"/>
        <v>1550.1800000000003</v>
      </c>
      <c r="L42" s="74">
        <v>6510</v>
      </c>
      <c r="M42" s="145">
        <v>41101</v>
      </c>
      <c r="N42" s="149">
        <v>41061</v>
      </c>
      <c r="O42" s="4"/>
      <c r="P42" s="4" t="s">
        <v>636</v>
      </c>
      <c r="Q42" s="4" t="s">
        <v>630</v>
      </c>
      <c r="R42" s="4"/>
      <c r="S42" t="s">
        <v>631</v>
      </c>
      <c r="T42" t="s">
        <v>630</v>
      </c>
      <c r="U42" s="4" t="s">
        <v>637</v>
      </c>
    </row>
    <row r="43" spans="1:23" ht="15" hidden="1" customHeight="1" x14ac:dyDescent="0.25">
      <c r="A43" s="142">
        <v>2012</v>
      </c>
      <c r="B43" s="96" t="s">
        <v>68</v>
      </c>
      <c r="C43" s="78">
        <v>260</v>
      </c>
      <c r="D43" s="143">
        <v>12</v>
      </c>
      <c r="E43" s="68" t="s">
        <v>639</v>
      </c>
      <c r="F43" s="144">
        <f>6037.62-5529.84</f>
        <v>507.77999999999975</v>
      </c>
      <c r="G43" s="69">
        <v>507.77999999999975</v>
      </c>
      <c r="H43" s="133" t="s">
        <v>625</v>
      </c>
      <c r="I43" s="134">
        <f t="shared" si="4"/>
        <v>507.77999999999975</v>
      </c>
      <c r="J43" s="135" t="s">
        <v>635</v>
      </c>
      <c r="K43" s="136">
        <f t="shared" si="5"/>
        <v>507.77999999999975</v>
      </c>
      <c r="L43" s="74">
        <v>7844</v>
      </c>
      <c r="M43" s="81">
        <v>41156</v>
      </c>
      <c r="N43" s="83">
        <v>41091</v>
      </c>
      <c r="O43" s="4"/>
      <c r="P43" s="4" t="s">
        <v>636</v>
      </c>
      <c r="Q43" s="4" t="s">
        <v>630</v>
      </c>
      <c r="R43" s="4"/>
      <c r="S43" t="s">
        <v>631</v>
      </c>
      <c r="T43" t="s">
        <v>630</v>
      </c>
      <c r="U43" s="4" t="s">
        <v>637</v>
      </c>
    </row>
    <row r="44" spans="1:23" ht="15" hidden="1" customHeight="1" x14ac:dyDescent="0.25">
      <c r="A44" s="142">
        <v>2012</v>
      </c>
      <c r="B44" s="96" t="s">
        <v>68</v>
      </c>
      <c r="C44" s="78">
        <v>285</v>
      </c>
      <c r="D44" s="143">
        <v>12</v>
      </c>
      <c r="E44" s="68" t="s">
        <v>639</v>
      </c>
      <c r="F44" s="144">
        <v>507.78</v>
      </c>
      <c r="G44" s="69">
        <v>507.78</v>
      </c>
      <c r="H44" s="133" t="s">
        <v>625</v>
      </c>
      <c r="I44" s="134">
        <f t="shared" si="4"/>
        <v>507.78</v>
      </c>
      <c r="J44" s="135" t="s">
        <v>635</v>
      </c>
      <c r="K44" s="136">
        <f t="shared" si="5"/>
        <v>507.78</v>
      </c>
      <c r="L44" s="74">
        <v>8681</v>
      </c>
      <c r="M44" s="81">
        <v>41180</v>
      </c>
      <c r="N44" s="83">
        <v>41122</v>
      </c>
      <c r="O44" s="4"/>
      <c r="P44" s="4" t="s">
        <v>636</v>
      </c>
      <c r="Q44" s="4" t="s">
        <v>630</v>
      </c>
      <c r="R44" s="4"/>
      <c r="S44" t="s">
        <v>631</v>
      </c>
      <c r="T44" t="s">
        <v>630</v>
      </c>
      <c r="U44" s="4" t="s">
        <v>637</v>
      </c>
    </row>
    <row r="45" spans="1:23" ht="15" hidden="1" customHeight="1" x14ac:dyDescent="0.25">
      <c r="A45" s="142">
        <v>2012</v>
      </c>
      <c r="B45" s="96" t="s">
        <v>68</v>
      </c>
      <c r="C45" s="78">
        <v>337</v>
      </c>
      <c r="D45" s="143">
        <v>12</v>
      </c>
      <c r="E45" s="68" t="s">
        <v>639</v>
      </c>
      <c r="F45" s="144">
        <f>6709.7-6218.3</f>
        <v>491.39999999999964</v>
      </c>
      <c r="G45" s="69">
        <v>491.39999999999964</v>
      </c>
      <c r="H45" s="133" t="s">
        <v>625</v>
      </c>
      <c r="I45" s="134">
        <f t="shared" si="4"/>
        <v>491.39999999999964</v>
      </c>
      <c r="J45" s="135" t="s">
        <v>635</v>
      </c>
      <c r="K45" s="136">
        <f t="shared" si="5"/>
        <v>491.39999999999964</v>
      </c>
      <c r="L45" s="74">
        <v>9114</v>
      </c>
      <c r="M45" s="145">
        <v>41193</v>
      </c>
      <c r="N45" s="149">
        <v>41153</v>
      </c>
      <c r="O45" s="4"/>
      <c r="P45" s="4" t="s">
        <v>636</v>
      </c>
      <c r="Q45" s="4" t="s">
        <v>630</v>
      </c>
      <c r="R45" s="4"/>
      <c r="S45" t="s">
        <v>631</v>
      </c>
      <c r="T45" t="s">
        <v>630</v>
      </c>
      <c r="U45" s="4" t="s">
        <v>637</v>
      </c>
    </row>
    <row r="46" spans="1:23" ht="15" hidden="1" customHeight="1" x14ac:dyDescent="0.25">
      <c r="A46" s="142">
        <v>2012</v>
      </c>
      <c r="B46" s="96" t="s">
        <v>68</v>
      </c>
      <c r="C46" s="78">
        <v>373</v>
      </c>
      <c r="D46" s="143">
        <v>12</v>
      </c>
      <c r="E46" s="68" t="s">
        <v>639</v>
      </c>
      <c r="F46" s="144">
        <f>6125.62-5617.87+0.03</f>
        <v>507.78</v>
      </c>
      <c r="G46" s="69">
        <v>507.78</v>
      </c>
      <c r="H46" s="133" t="s">
        <v>625</v>
      </c>
      <c r="I46" s="134">
        <f t="shared" si="4"/>
        <v>507.78</v>
      </c>
      <c r="J46" s="135" t="s">
        <v>635</v>
      </c>
      <c r="K46" s="136">
        <f t="shared" si="5"/>
        <v>507.78</v>
      </c>
      <c r="L46" s="74">
        <v>9979</v>
      </c>
      <c r="M46" s="145">
        <v>41219</v>
      </c>
      <c r="N46" s="149">
        <v>41183</v>
      </c>
      <c r="O46" s="4"/>
      <c r="P46" s="4" t="s">
        <v>636</v>
      </c>
      <c r="Q46" s="4" t="s">
        <v>630</v>
      </c>
      <c r="R46" s="4"/>
      <c r="S46" t="s">
        <v>631</v>
      </c>
      <c r="T46" t="s">
        <v>630</v>
      </c>
      <c r="U46" s="4" t="s">
        <v>637</v>
      </c>
    </row>
    <row r="47" spans="1:23" ht="15.75" hidden="1" customHeight="1" x14ac:dyDescent="0.25">
      <c r="A47" s="142">
        <v>2012</v>
      </c>
      <c r="B47" s="96" t="s">
        <v>68</v>
      </c>
      <c r="C47" s="78">
        <v>438</v>
      </c>
      <c r="D47" s="143">
        <v>12</v>
      </c>
      <c r="E47" s="68" t="s">
        <v>639</v>
      </c>
      <c r="F47" s="144">
        <v>491.4</v>
      </c>
      <c r="G47" s="69">
        <v>491.4</v>
      </c>
      <c r="H47" s="133" t="s">
        <v>625</v>
      </c>
      <c r="I47" s="134">
        <f t="shared" si="4"/>
        <v>491.4</v>
      </c>
      <c r="J47" s="135" t="s">
        <v>635</v>
      </c>
      <c r="K47" s="136">
        <f t="shared" si="5"/>
        <v>491.4</v>
      </c>
      <c r="L47" s="74">
        <v>11239</v>
      </c>
      <c r="M47" s="145">
        <v>41254</v>
      </c>
      <c r="N47" s="149">
        <v>41214</v>
      </c>
      <c r="O47" s="4"/>
      <c r="P47" s="4" t="s">
        <v>636</v>
      </c>
      <c r="Q47" s="4" t="s">
        <v>630</v>
      </c>
      <c r="R47" s="4"/>
      <c r="S47" t="s">
        <v>631</v>
      </c>
      <c r="T47" t="s">
        <v>630</v>
      </c>
      <c r="U47" s="4" t="s">
        <v>637</v>
      </c>
    </row>
    <row r="48" spans="1:23" ht="12.75" hidden="1" customHeight="1" x14ac:dyDescent="0.25">
      <c r="A48" s="142">
        <v>2012</v>
      </c>
      <c r="B48" s="96" t="s">
        <v>74</v>
      </c>
      <c r="C48" s="78">
        <v>226</v>
      </c>
      <c r="D48" s="143">
        <v>12</v>
      </c>
      <c r="E48" s="68" t="s">
        <v>647</v>
      </c>
      <c r="F48" s="144">
        <v>518</v>
      </c>
      <c r="G48" s="69">
        <v>207.46</v>
      </c>
      <c r="H48" s="133" t="s">
        <v>625</v>
      </c>
      <c r="I48" s="162">
        <f>1069.81-300.67</f>
        <v>769.13999999999987</v>
      </c>
      <c r="J48" s="135" t="s">
        <v>648</v>
      </c>
      <c r="K48" s="136">
        <f>G48</f>
        <v>207.46</v>
      </c>
      <c r="L48" s="159" t="s">
        <v>649</v>
      </c>
      <c r="M48" s="133"/>
      <c r="N48" s="160"/>
      <c r="O48" s="4"/>
      <c r="P48" s="4" t="s">
        <v>636</v>
      </c>
      <c r="Q48" s="4" t="s">
        <v>630</v>
      </c>
      <c r="R48" s="4"/>
      <c r="S48" t="s">
        <v>646</v>
      </c>
      <c r="T48" s="4" t="s">
        <v>630</v>
      </c>
      <c r="V48">
        <v>0.25</v>
      </c>
      <c r="W48" s="106">
        <f>K48*V48</f>
        <v>51.865000000000002</v>
      </c>
    </row>
    <row r="49" spans="1:23" ht="15.75" hidden="1" customHeight="1" x14ac:dyDescent="0.25">
      <c r="A49" s="142">
        <v>2013</v>
      </c>
      <c r="B49" s="84" t="s">
        <v>79</v>
      </c>
      <c r="C49" s="78">
        <v>538</v>
      </c>
      <c r="D49" s="163"/>
      <c r="E49" s="68" t="s">
        <v>650</v>
      </c>
      <c r="F49" s="144">
        <v>80220</v>
      </c>
      <c r="G49" s="69">
        <v>50549.8</v>
      </c>
      <c r="H49" s="133" t="s">
        <v>625</v>
      </c>
      <c r="I49" s="162">
        <f>F49-9890.04</f>
        <v>70329.959999999992</v>
      </c>
      <c r="J49" s="158" t="s">
        <v>651</v>
      </c>
      <c r="K49" s="136">
        <v>50549.8</v>
      </c>
      <c r="L49" s="85" t="s">
        <v>652</v>
      </c>
      <c r="M49" s="133"/>
      <c r="N49" s="160"/>
      <c r="O49" s="4"/>
      <c r="P49" s="4"/>
      <c r="Q49" s="4" t="s">
        <v>630</v>
      </c>
      <c r="R49" s="4"/>
      <c r="T49" t="s">
        <v>630</v>
      </c>
      <c r="V49" s="86"/>
    </row>
    <row r="50" spans="1:23" ht="15" hidden="1" customHeight="1" x14ac:dyDescent="0.25">
      <c r="A50" s="142">
        <v>2014</v>
      </c>
      <c r="B50" s="142" t="s">
        <v>68</v>
      </c>
      <c r="C50" s="78">
        <v>560</v>
      </c>
      <c r="D50" s="164"/>
      <c r="E50" s="88" t="s">
        <v>653</v>
      </c>
      <c r="F50" s="165">
        <v>34714.379999999997</v>
      </c>
      <c r="G50" s="69">
        <v>34714.379999999997</v>
      </c>
      <c r="H50" s="133" t="s">
        <v>625</v>
      </c>
      <c r="I50" s="166">
        <f>F50-598823.12</f>
        <v>-564108.74</v>
      </c>
      <c r="J50" s="135" t="s">
        <v>626</v>
      </c>
      <c r="K50" s="136">
        <f>F50</f>
        <v>34714.379999999997</v>
      </c>
      <c r="L50" s="159" t="s">
        <v>654</v>
      </c>
      <c r="M50" s="262"/>
      <c r="N50" s="167"/>
      <c r="O50" s="4"/>
      <c r="P50" s="4" t="s">
        <v>629</v>
      </c>
      <c r="Q50" s="4" t="s">
        <v>630</v>
      </c>
      <c r="R50" s="4"/>
      <c r="S50" t="s">
        <v>646</v>
      </c>
      <c r="T50" t="s">
        <v>630</v>
      </c>
      <c r="U50" t="s">
        <v>632</v>
      </c>
      <c r="V50">
        <v>0.25</v>
      </c>
      <c r="W50" s="106">
        <f>K50*V50</f>
        <v>8678.5949999999993</v>
      </c>
    </row>
    <row r="51" spans="1:23" hidden="1" x14ac:dyDescent="0.25">
      <c r="A51" s="142">
        <v>2014</v>
      </c>
      <c r="B51" s="142" t="s">
        <v>68</v>
      </c>
      <c r="C51" s="78">
        <v>560</v>
      </c>
      <c r="D51" s="164"/>
      <c r="E51" s="88" t="s">
        <v>655</v>
      </c>
      <c r="F51" s="165">
        <v>315331.33</v>
      </c>
      <c r="G51" s="69">
        <v>75713</v>
      </c>
      <c r="H51" s="133" t="s">
        <v>656</v>
      </c>
      <c r="I51" s="166">
        <f t="shared" ref="I51:I68" si="6">F51</f>
        <v>315331.33</v>
      </c>
      <c r="J51" s="135" t="s">
        <v>626</v>
      </c>
      <c r="K51" s="136">
        <f>190426.76-114713.71-69809.14</f>
        <v>5903.9100000000035</v>
      </c>
      <c r="L51" s="159" t="s">
        <v>657</v>
      </c>
      <c r="M51" s="262"/>
      <c r="N51" s="167"/>
      <c r="O51" s="4"/>
      <c r="P51" s="4" t="s">
        <v>629</v>
      </c>
      <c r="Q51" s="4" t="s">
        <v>630</v>
      </c>
      <c r="R51" s="4"/>
      <c r="S51" t="s">
        <v>646</v>
      </c>
      <c r="T51" t="s">
        <v>630</v>
      </c>
      <c r="U51" t="s">
        <v>632</v>
      </c>
      <c r="V51">
        <v>0.25</v>
      </c>
      <c r="W51" s="106">
        <f>K51*V51</f>
        <v>1475.9775000000009</v>
      </c>
    </row>
    <row r="52" spans="1:23" ht="15" hidden="1" customHeight="1" x14ac:dyDescent="0.25">
      <c r="A52" s="142">
        <v>2014</v>
      </c>
      <c r="B52" s="96" t="s">
        <v>122</v>
      </c>
      <c r="C52" s="78">
        <v>489</v>
      </c>
      <c r="D52" s="164"/>
      <c r="E52" s="77" t="s">
        <v>658</v>
      </c>
      <c r="F52" s="165">
        <v>27752080</v>
      </c>
      <c r="G52" s="69">
        <v>9320040.5</v>
      </c>
      <c r="H52" s="133" t="s">
        <v>656</v>
      </c>
      <c r="I52" s="168">
        <f>F52-525000</f>
        <v>27227080</v>
      </c>
      <c r="J52" s="158" t="s">
        <v>644</v>
      </c>
      <c r="K52" s="136">
        <v>0.01</v>
      </c>
      <c r="L52" s="92" t="s">
        <v>659</v>
      </c>
      <c r="M52" s="169"/>
      <c r="N52" s="167"/>
      <c r="O52" s="4"/>
      <c r="P52" s="4"/>
      <c r="Q52" s="4" t="s">
        <v>630</v>
      </c>
      <c r="R52" s="4"/>
      <c r="S52" t="s">
        <v>646</v>
      </c>
      <c r="T52" t="s">
        <v>630</v>
      </c>
      <c r="U52" s="4"/>
    </row>
    <row r="53" spans="1:23" ht="15" hidden="1" customHeight="1" x14ac:dyDescent="0.25">
      <c r="A53" s="142">
        <v>2014</v>
      </c>
      <c r="B53" s="96" t="s">
        <v>122</v>
      </c>
      <c r="C53" s="78">
        <v>490</v>
      </c>
      <c r="D53" s="170"/>
      <c r="E53" s="89" t="s">
        <v>658</v>
      </c>
      <c r="F53" s="165">
        <v>17167413</v>
      </c>
      <c r="G53" s="69">
        <v>5706774.3899999997</v>
      </c>
      <c r="H53" s="133" t="s">
        <v>656</v>
      </c>
      <c r="I53" s="166">
        <f t="shared" si="6"/>
        <v>17167413</v>
      </c>
      <c r="J53" s="158" t="s">
        <v>644</v>
      </c>
      <c r="K53" s="136">
        <f>G53-4783185.72</f>
        <v>923588.66999999993</v>
      </c>
      <c r="L53" s="90"/>
      <c r="M53" s="70"/>
      <c r="N53" s="70"/>
      <c r="O53" s="4"/>
      <c r="P53" s="4"/>
      <c r="Q53" s="4" t="s">
        <v>630</v>
      </c>
      <c r="R53" s="4"/>
      <c r="S53" t="s">
        <v>646</v>
      </c>
      <c r="T53" t="s">
        <v>630</v>
      </c>
      <c r="U53" s="4"/>
    </row>
    <row r="54" spans="1:23" ht="15" hidden="1" customHeight="1" x14ac:dyDescent="0.25">
      <c r="A54" s="142">
        <v>2014</v>
      </c>
      <c r="B54" s="96" t="s">
        <v>122</v>
      </c>
      <c r="C54" s="78">
        <v>490</v>
      </c>
      <c r="D54" s="171" t="s">
        <v>660</v>
      </c>
      <c r="E54" s="89" t="s">
        <v>660</v>
      </c>
      <c r="F54" s="165"/>
      <c r="G54" s="69">
        <v>10067.64</v>
      </c>
      <c r="H54" s="133" t="s">
        <v>625</v>
      </c>
      <c r="I54" s="166"/>
      <c r="J54" s="158"/>
      <c r="K54" s="136">
        <f>G54</f>
        <v>10067.64</v>
      </c>
      <c r="L54" s="91"/>
      <c r="M54" s="70"/>
      <c r="N54" s="91"/>
      <c r="O54" s="4"/>
      <c r="P54" s="4"/>
      <c r="Q54" s="4"/>
      <c r="R54" s="4"/>
      <c r="T54" t="s">
        <v>630</v>
      </c>
      <c r="U54" s="4"/>
    </row>
    <row r="55" spans="1:23" ht="15.75" hidden="1" customHeight="1" x14ac:dyDescent="0.25">
      <c r="A55" s="142">
        <v>2014</v>
      </c>
      <c r="B55" s="96" t="s">
        <v>122</v>
      </c>
      <c r="C55" s="78">
        <v>490</v>
      </c>
      <c r="D55" s="170"/>
      <c r="E55" s="89" t="s">
        <v>660</v>
      </c>
      <c r="F55" s="165">
        <v>18290366</v>
      </c>
      <c r="G55" s="69">
        <v>5576305.0199999996</v>
      </c>
      <c r="H55" s="133" t="s">
        <v>656</v>
      </c>
      <c r="I55" s="166">
        <f t="shared" si="6"/>
        <v>18290366</v>
      </c>
      <c r="J55" s="158" t="s">
        <v>644</v>
      </c>
      <c r="K55" s="136">
        <f>G55-2459731.77</f>
        <v>3116573.2499999995</v>
      </c>
      <c r="L55" s="92" t="s">
        <v>661</v>
      </c>
      <c r="M55" s="133"/>
      <c r="N55" s="172"/>
      <c r="O55" s="4"/>
      <c r="P55" s="4"/>
      <c r="Q55" s="4" t="s">
        <v>630</v>
      </c>
      <c r="R55" s="4"/>
      <c r="S55" t="s">
        <v>646</v>
      </c>
      <c r="T55" t="s">
        <v>630</v>
      </c>
      <c r="U55" s="4"/>
    </row>
    <row r="56" spans="1:23" ht="15" hidden="1" customHeight="1" x14ac:dyDescent="0.25">
      <c r="A56" s="142">
        <v>2015</v>
      </c>
      <c r="B56" s="142" t="s">
        <v>68</v>
      </c>
      <c r="C56" s="173">
        <v>514</v>
      </c>
      <c r="D56" s="164"/>
      <c r="E56" s="77" t="s">
        <v>655</v>
      </c>
      <c r="F56" s="144">
        <v>129285.85</v>
      </c>
      <c r="G56" s="69">
        <v>129285.85</v>
      </c>
      <c r="H56" s="133" t="s">
        <v>625</v>
      </c>
      <c r="I56" s="174">
        <f t="shared" si="6"/>
        <v>129285.85</v>
      </c>
      <c r="J56" s="135" t="s">
        <v>626</v>
      </c>
      <c r="K56" s="136">
        <f>G56</f>
        <v>129285.85</v>
      </c>
      <c r="L56" s="159" t="s">
        <v>657</v>
      </c>
      <c r="M56" s="133"/>
      <c r="N56" s="172"/>
      <c r="O56" s="4"/>
      <c r="P56" s="4" t="s">
        <v>629</v>
      </c>
      <c r="Q56" s="4" t="s">
        <v>630</v>
      </c>
      <c r="R56" s="4"/>
      <c r="S56" t="s">
        <v>646</v>
      </c>
      <c r="T56" t="s">
        <v>630</v>
      </c>
      <c r="U56" t="s">
        <v>632</v>
      </c>
      <c r="V56">
        <v>0.25</v>
      </c>
      <c r="W56" s="106">
        <f t="shared" ref="W56:W57" si="7">K56*V56</f>
        <v>32321.462500000001</v>
      </c>
    </row>
    <row r="57" spans="1:23" ht="15.75" hidden="1" customHeight="1" x14ac:dyDescent="0.25">
      <c r="A57" s="142">
        <v>2015</v>
      </c>
      <c r="B57" s="142" t="s">
        <v>68</v>
      </c>
      <c r="C57" s="173">
        <v>514</v>
      </c>
      <c r="D57" s="164"/>
      <c r="E57" s="77" t="s">
        <v>655</v>
      </c>
      <c r="F57" s="144">
        <v>835.58</v>
      </c>
      <c r="G57" s="69">
        <v>835.58</v>
      </c>
      <c r="H57" s="133" t="s">
        <v>625</v>
      </c>
      <c r="I57" s="174">
        <f t="shared" si="6"/>
        <v>835.58</v>
      </c>
      <c r="J57" s="135" t="s">
        <v>626</v>
      </c>
      <c r="K57" s="136">
        <f>F57</f>
        <v>835.58</v>
      </c>
      <c r="L57" s="159" t="s">
        <v>662</v>
      </c>
      <c r="M57" s="133"/>
      <c r="N57" s="172"/>
      <c r="O57" s="4"/>
      <c r="P57" s="4" t="s">
        <v>629</v>
      </c>
      <c r="Q57" s="4" t="s">
        <v>630</v>
      </c>
      <c r="R57" s="4"/>
      <c r="S57" t="s">
        <v>646</v>
      </c>
      <c r="T57" t="s">
        <v>630</v>
      </c>
      <c r="U57" t="s">
        <v>632</v>
      </c>
      <c r="V57">
        <v>0.25</v>
      </c>
      <c r="W57" s="106">
        <f t="shared" si="7"/>
        <v>208.89500000000001</v>
      </c>
    </row>
    <row r="58" spans="1:23" s="172" customFormat="1" ht="27.75" hidden="1" customHeight="1" x14ac:dyDescent="0.25">
      <c r="A58" s="142">
        <v>2015</v>
      </c>
      <c r="B58" s="175" t="s">
        <v>176</v>
      </c>
      <c r="C58" s="173">
        <v>330</v>
      </c>
      <c r="D58" s="164"/>
      <c r="E58" s="176" t="s">
        <v>793</v>
      </c>
      <c r="F58" s="144">
        <v>1400.56</v>
      </c>
      <c r="G58" s="69">
        <v>1401</v>
      </c>
      <c r="H58" s="133" t="s">
        <v>625</v>
      </c>
      <c r="I58" s="174">
        <f t="shared" si="6"/>
        <v>1400.56</v>
      </c>
      <c r="J58" s="158" t="s">
        <v>663</v>
      </c>
      <c r="K58" s="136">
        <f>F58</f>
        <v>1400.56</v>
      </c>
      <c r="L58" s="159" t="s">
        <v>664</v>
      </c>
      <c r="M58" s="133"/>
      <c r="O58" s="4"/>
      <c r="P58" s="4" t="s">
        <v>794</v>
      </c>
      <c r="Q58" s="4" t="s">
        <v>630</v>
      </c>
      <c r="R58" s="4"/>
      <c r="S58" t="s">
        <v>646</v>
      </c>
      <c r="T58" s="4" t="s">
        <v>630</v>
      </c>
    </row>
    <row r="59" spans="1:23" s="172" customFormat="1" ht="32.25" hidden="1" customHeight="1" x14ac:dyDescent="0.25">
      <c r="A59" s="142">
        <v>2015</v>
      </c>
      <c r="B59" s="175" t="s">
        <v>176</v>
      </c>
      <c r="C59" s="173">
        <v>389</v>
      </c>
      <c r="D59" s="164"/>
      <c r="E59" s="176" t="s">
        <v>795</v>
      </c>
      <c r="F59" s="144">
        <v>1545.37</v>
      </c>
      <c r="G59" s="69">
        <v>1545.37</v>
      </c>
      <c r="H59" s="133" t="s">
        <v>625</v>
      </c>
      <c r="I59" s="174">
        <f t="shared" si="6"/>
        <v>1545.37</v>
      </c>
      <c r="J59" s="158" t="s">
        <v>663</v>
      </c>
      <c r="K59" s="136">
        <f>G59</f>
        <v>1545.37</v>
      </c>
      <c r="L59" s="159" t="s">
        <v>665</v>
      </c>
      <c r="M59" s="133"/>
      <c r="O59" s="4"/>
      <c r="P59" s="4" t="s">
        <v>794</v>
      </c>
      <c r="Q59" s="4" t="s">
        <v>630</v>
      </c>
      <c r="R59" s="4"/>
      <c r="S59" t="s">
        <v>646</v>
      </c>
      <c r="T59" s="4" t="s">
        <v>630</v>
      </c>
    </row>
    <row r="60" spans="1:23" ht="26.25" hidden="1" customHeight="1" x14ac:dyDescent="0.25">
      <c r="A60" s="150">
        <v>2016</v>
      </c>
      <c r="B60" s="150" t="s">
        <v>176</v>
      </c>
      <c r="C60" s="177">
        <v>179</v>
      </c>
      <c r="D60" s="87"/>
      <c r="E60" s="178" t="s">
        <v>666</v>
      </c>
      <c r="F60" s="179">
        <v>21</v>
      </c>
      <c r="G60" s="180">
        <v>21</v>
      </c>
      <c r="H60" s="156" t="s">
        <v>667</v>
      </c>
      <c r="I60" s="93">
        <f t="shared" si="6"/>
        <v>21</v>
      </c>
      <c r="J60" s="158" t="s">
        <v>663</v>
      </c>
      <c r="K60" s="155">
        <v>0</v>
      </c>
      <c r="L60" s="159"/>
      <c r="M60" s="133"/>
      <c r="N60" s="172"/>
      <c r="O60" s="4"/>
      <c r="P60" s="4"/>
      <c r="Q60" s="4" t="s">
        <v>630</v>
      </c>
      <c r="R60" s="4"/>
      <c r="S60" t="s">
        <v>646</v>
      </c>
      <c r="T60" t="s">
        <v>630</v>
      </c>
    </row>
    <row r="61" spans="1:23" ht="33.75" hidden="1" customHeight="1" x14ac:dyDescent="0.25">
      <c r="A61" s="142">
        <v>2016</v>
      </c>
      <c r="B61" s="142" t="s">
        <v>176</v>
      </c>
      <c r="C61" s="173">
        <v>186</v>
      </c>
      <c r="D61" s="164"/>
      <c r="E61" s="176" t="s">
        <v>796</v>
      </c>
      <c r="F61" s="144">
        <v>2254.56</v>
      </c>
      <c r="G61" s="160">
        <v>2254.56</v>
      </c>
      <c r="H61" s="133" t="s">
        <v>625</v>
      </c>
      <c r="I61" s="174">
        <f t="shared" si="6"/>
        <v>2254.56</v>
      </c>
      <c r="J61" s="158" t="s">
        <v>663</v>
      </c>
      <c r="K61" s="136">
        <f>G61</f>
        <v>2254.56</v>
      </c>
      <c r="L61" s="159"/>
      <c r="M61" s="133"/>
      <c r="N61" s="172"/>
      <c r="O61" s="4"/>
      <c r="P61" s="4" t="s">
        <v>797</v>
      </c>
      <c r="Q61" s="4" t="s">
        <v>630</v>
      </c>
      <c r="R61" s="4"/>
      <c r="S61" t="s">
        <v>646</v>
      </c>
      <c r="T61" s="4" t="s">
        <v>630</v>
      </c>
    </row>
    <row r="62" spans="1:23" ht="27" hidden="1" customHeight="1" x14ac:dyDescent="0.25">
      <c r="A62" s="142">
        <v>2016</v>
      </c>
      <c r="B62" s="142" t="s">
        <v>176</v>
      </c>
      <c r="C62" s="173">
        <v>400</v>
      </c>
      <c r="D62" s="164"/>
      <c r="E62" s="176" t="s">
        <v>798</v>
      </c>
      <c r="F62" s="144">
        <v>1545.37</v>
      </c>
      <c r="G62" s="160">
        <v>1545</v>
      </c>
      <c r="H62" s="133" t="s">
        <v>625</v>
      </c>
      <c r="I62" s="174">
        <f t="shared" si="6"/>
        <v>1545.37</v>
      </c>
      <c r="J62" s="158" t="s">
        <v>663</v>
      </c>
      <c r="K62" s="136">
        <f t="shared" ref="K62" si="8">F62</f>
        <v>1545.37</v>
      </c>
      <c r="L62" s="159"/>
      <c r="M62" s="133"/>
      <c r="N62" s="172"/>
      <c r="O62" s="4"/>
      <c r="P62" s="4" t="s">
        <v>794</v>
      </c>
      <c r="Q62" s="4" t="s">
        <v>630</v>
      </c>
      <c r="R62" s="4"/>
      <c r="S62" t="s">
        <v>646</v>
      </c>
      <c r="T62" s="4" t="s">
        <v>630</v>
      </c>
      <c r="U62" s="4"/>
      <c r="V62" s="4"/>
    </row>
    <row r="63" spans="1:23" s="183" customFormat="1" ht="15.75" hidden="1" customHeight="1" x14ac:dyDescent="0.25">
      <c r="A63" s="142">
        <v>2017</v>
      </c>
      <c r="B63" s="96" t="s">
        <v>68</v>
      </c>
      <c r="C63" s="78">
        <v>423</v>
      </c>
      <c r="D63" s="164"/>
      <c r="E63" s="77" t="s">
        <v>668</v>
      </c>
      <c r="F63" s="144">
        <v>6694.79</v>
      </c>
      <c r="G63" s="181">
        <v>6694.79</v>
      </c>
      <c r="H63" s="133" t="s">
        <v>625</v>
      </c>
      <c r="I63" s="182">
        <f t="shared" si="6"/>
        <v>6694.79</v>
      </c>
      <c r="J63" s="135" t="s">
        <v>635</v>
      </c>
      <c r="K63" s="136">
        <f t="shared" ref="K63:K67" si="9">I63</f>
        <v>6694.79</v>
      </c>
      <c r="M63" s="184"/>
      <c r="N63" s="172"/>
      <c r="O63" s="4"/>
      <c r="P63" s="4" t="s">
        <v>636</v>
      </c>
      <c r="Q63" s="4"/>
      <c r="R63" s="4"/>
      <c r="S63" t="s">
        <v>646</v>
      </c>
      <c r="T63" t="s">
        <v>630</v>
      </c>
      <c r="U63" s="4" t="s">
        <v>637</v>
      </c>
      <c r="V63">
        <v>0.25</v>
      </c>
      <c r="W63" s="106">
        <f>K63*V63</f>
        <v>1673.6975</v>
      </c>
    </row>
    <row r="64" spans="1:23" s="183" customFormat="1" ht="15.75" hidden="1" customHeight="1" x14ac:dyDescent="0.25">
      <c r="A64" s="142">
        <v>2017</v>
      </c>
      <c r="B64" s="96" t="s">
        <v>79</v>
      </c>
      <c r="C64" s="78">
        <v>357</v>
      </c>
      <c r="D64" s="164"/>
      <c r="E64" s="77" t="s">
        <v>650</v>
      </c>
      <c r="F64" s="144">
        <v>44381.74</v>
      </c>
      <c r="G64" s="181">
        <v>29381.98</v>
      </c>
      <c r="H64" s="133" t="s">
        <v>656</v>
      </c>
      <c r="I64" s="182">
        <f t="shared" si="6"/>
        <v>44381.74</v>
      </c>
      <c r="J64" s="158" t="s">
        <v>651</v>
      </c>
      <c r="K64" s="185">
        <f>G64-4583.26</f>
        <v>24798.720000000001</v>
      </c>
      <c r="M64" s="184"/>
      <c r="N64" s="172"/>
      <c r="O64" s="4"/>
      <c r="P64" s="4"/>
      <c r="Q64" s="4"/>
      <c r="R64" s="4"/>
      <c r="S64"/>
      <c r="T64" s="4" t="s">
        <v>630</v>
      </c>
      <c r="U64" s="4"/>
      <c r="V64" s="4"/>
    </row>
    <row r="65" spans="1:23" s="183" customFormat="1" ht="15" hidden="1" customHeight="1" x14ac:dyDescent="0.25">
      <c r="A65" s="142">
        <v>2017</v>
      </c>
      <c r="B65" s="96" t="s">
        <v>176</v>
      </c>
      <c r="C65" s="78">
        <v>114</v>
      </c>
      <c r="D65" s="164"/>
      <c r="E65" s="77" t="s">
        <v>669</v>
      </c>
      <c r="F65" s="144">
        <v>14849.98</v>
      </c>
      <c r="G65" s="181">
        <v>14849.98</v>
      </c>
      <c r="H65" s="133" t="s">
        <v>625</v>
      </c>
      <c r="I65" s="182">
        <f t="shared" si="6"/>
        <v>14849.98</v>
      </c>
      <c r="J65" s="158" t="s">
        <v>663</v>
      </c>
      <c r="K65" s="136">
        <f t="shared" si="9"/>
        <v>14849.98</v>
      </c>
      <c r="M65" s="184"/>
      <c r="N65" s="172"/>
      <c r="O65" s="4"/>
      <c r="P65" s="4" t="s">
        <v>794</v>
      </c>
      <c r="Q65" s="4"/>
      <c r="R65" s="4"/>
      <c r="S65" t="s">
        <v>646</v>
      </c>
      <c r="T65" s="4" t="s">
        <v>630</v>
      </c>
      <c r="U65" s="4"/>
      <c r="V65" s="4"/>
    </row>
    <row r="66" spans="1:23" s="183" customFormat="1" ht="22.5" hidden="1" customHeight="1" x14ac:dyDescent="0.25">
      <c r="A66" s="142">
        <v>2017</v>
      </c>
      <c r="B66" s="96" t="s">
        <v>176</v>
      </c>
      <c r="C66" s="78">
        <v>276</v>
      </c>
      <c r="D66" s="164"/>
      <c r="E66" s="176" t="s">
        <v>799</v>
      </c>
      <c r="F66" s="144">
        <v>777.13</v>
      </c>
      <c r="G66" s="181">
        <v>777.13</v>
      </c>
      <c r="H66" s="133" t="s">
        <v>625</v>
      </c>
      <c r="I66" s="182">
        <f t="shared" si="6"/>
        <v>777.13</v>
      </c>
      <c r="J66" s="158" t="s">
        <v>663</v>
      </c>
      <c r="K66" s="136">
        <f>G66</f>
        <v>777.13</v>
      </c>
      <c r="M66" s="184"/>
      <c r="N66" s="172"/>
      <c r="O66" s="4"/>
      <c r="P66" s="4" t="s">
        <v>794</v>
      </c>
      <c r="Q66" s="4"/>
      <c r="R66" s="4"/>
      <c r="S66" t="s">
        <v>646</v>
      </c>
      <c r="T66" s="4" t="s">
        <v>630</v>
      </c>
      <c r="U66" s="4"/>
      <c r="V66" s="4"/>
    </row>
    <row r="67" spans="1:23" s="183" customFormat="1" ht="24.75" hidden="1" customHeight="1" x14ac:dyDescent="0.25">
      <c r="A67" s="142">
        <v>2017</v>
      </c>
      <c r="B67" s="96" t="s">
        <v>176</v>
      </c>
      <c r="C67" s="78">
        <v>331</v>
      </c>
      <c r="D67" s="164"/>
      <c r="E67" s="176" t="s">
        <v>800</v>
      </c>
      <c r="F67" s="144">
        <v>1178.8399999999999</v>
      </c>
      <c r="G67" s="181">
        <v>1178.8399999999999</v>
      </c>
      <c r="H67" s="133" t="s">
        <v>625</v>
      </c>
      <c r="I67" s="182">
        <f t="shared" si="6"/>
        <v>1178.8399999999999</v>
      </c>
      <c r="J67" s="158" t="s">
        <v>663</v>
      </c>
      <c r="K67" s="136">
        <f t="shared" si="9"/>
        <v>1178.8399999999999</v>
      </c>
      <c r="M67" s="184"/>
      <c r="N67" s="172"/>
      <c r="O67" s="4"/>
      <c r="P67" s="4" t="s">
        <v>794</v>
      </c>
      <c r="Q67" s="4"/>
      <c r="R67" s="4"/>
      <c r="S67" t="s">
        <v>646</v>
      </c>
      <c r="T67" s="4" t="s">
        <v>630</v>
      </c>
      <c r="U67" s="4"/>
      <c r="V67" s="4"/>
    </row>
    <row r="68" spans="1:23" s="183" customFormat="1" ht="15.75" hidden="1" customHeight="1" x14ac:dyDescent="0.25">
      <c r="A68" s="96">
        <v>2017</v>
      </c>
      <c r="B68" s="96" t="s">
        <v>182</v>
      </c>
      <c r="C68" s="78">
        <v>271</v>
      </c>
      <c r="D68" s="164"/>
      <c r="E68" s="95" t="s">
        <v>183</v>
      </c>
      <c r="F68" s="144">
        <v>28314</v>
      </c>
      <c r="G68" s="181">
        <v>27</v>
      </c>
      <c r="H68" s="133" t="s">
        <v>625</v>
      </c>
      <c r="I68" s="182">
        <f t="shared" si="6"/>
        <v>28314</v>
      </c>
      <c r="J68" s="160"/>
      <c r="K68" s="136">
        <v>27.06</v>
      </c>
      <c r="M68" s="184"/>
      <c r="N68" s="172"/>
      <c r="O68" s="4"/>
      <c r="P68" s="4"/>
      <c r="Q68" s="4"/>
      <c r="R68" s="4"/>
      <c r="S68" t="s">
        <v>670</v>
      </c>
      <c r="T68" s="4" t="s">
        <v>630</v>
      </c>
      <c r="U68" s="4"/>
      <c r="V68" s="4"/>
    </row>
    <row r="69" spans="1:23" ht="15" hidden="1" customHeight="1" x14ac:dyDescent="0.25">
      <c r="A69" s="96">
        <v>2018</v>
      </c>
      <c r="B69" s="84" t="s">
        <v>68</v>
      </c>
      <c r="C69" s="78">
        <v>13</v>
      </c>
      <c r="D69" s="164"/>
      <c r="E69" s="77" t="s">
        <v>668</v>
      </c>
      <c r="F69" s="144"/>
      <c r="G69" s="97">
        <v>6917.95</v>
      </c>
      <c r="H69" s="133" t="s">
        <v>625</v>
      </c>
      <c r="I69" s="182">
        <f>G69</f>
        <v>6917.95</v>
      </c>
      <c r="J69" s="135" t="s">
        <v>635</v>
      </c>
      <c r="K69" s="136">
        <v>6917.95</v>
      </c>
      <c r="L69" s="183"/>
      <c r="M69" s="184"/>
      <c r="N69" s="172"/>
      <c r="O69" s="4"/>
      <c r="P69" s="4" t="s">
        <v>636</v>
      </c>
      <c r="Q69" s="4"/>
      <c r="R69" s="4"/>
      <c r="S69" t="s">
        <v>646</v>
      </c>
      <c r="T69" t="s">
        <v>630</v>
      </c>
      <c r="U69" s="4" t="s">
        <v>637</v>
      </c>
      <c r="V69">
        <v>0.25</v>
      </c>
      <c r="W69" s="106">
        <f t="shared" ref="W69:W73" si="10">K69*V69</f>
        <v>1729.4875</v>
      </c>
    </row>
    <row r="70" spans="1:23" ht="15" hidden="1" customHeight="1" x14ac:dyDescent="0.25">
      <c r="A70" s="96">
        <v>2018</v>
      </c>
      <c r="B70" s="84" t="s">
        <v>68</v>
      </c>
      <c r="C70" s="78">
        <v>52</v>
      </c>
      <c r="D70" s="186"/>
      <c r="E70" s="77" t="s">
        <v>668</v>
      </c>
      <c r="F70" s="186"/>
      <c r="G70" s="99">
        <v>6917.95</v>
      </c>
      <c r="H70" s="133" t="s">
        <v>625</v>
      </c>
      <c r="I70" s="182">
        <f t="shared" ref="I70:I133" si="11">G70</f>
        <v>6917.95</v>
      </c>
      <c r="J70" s="135" t="s">
        <v>635</v>
      </c>
      <c r="K70" s="136">
        <v>6917.95</v>
      </c>
      <c r="O70" s="4"/>
      <c r="P70" s="4" t="s">
        <v>636</v>
      </c>
      <c r="S70" t="s">
        <v>646</v>
      </c>
      <c r="T70" t="s">
        <v>630</v>
      </c>
      <c r="U70" s="4" t="s">
        <v>637</v>
      </c>
      <c r="V70">
        <v>0.25</v>
      </c>
      <c r="W70" s="106">
        <f t="shared" si="10"/>
        <v>1729.4875</v>
      </c>
    </row>
    <row r="71" spans="1:23" ht="15" hidden="1" customHeight="1" x14ac:dyDescent="0.25">
      <c r="A71" s="96">
        <v>2018</v>
      </c>
      <c r="B71" s="84" t="s">
        <v>68</v>
      </c>
      <c r="C71" s="78">
        <v>97</v>
      </c>
      <c r="D71" s="186"/>
      <c r="E71" s="77" t="s">
        <v>668</v>
      </c>
      <c r="F71" s="186"/>
      <c r="G71" s="99">
        <v>6248.47</v>
      </c>
      <c r="H71" s="133" t="s">
        <v>625</v>
      </c>
      <c r="I71" s="182">
        <f t="shared" si="11"/>
        <v>6248.47</v>
      </c>
      <c r="J71" s="135" t="s">
        <v>635</v>
      </c>
      <c r="K71" s="136">
        <f>G71</f>
        <v>6248.47</v>
      </c>
      <c r="O71" s="4"/>
      <c r="P71" s="4" t="s">
        <v>636</v>
      </c>
      <c r="S71" t="s">
        <v>646</v>
      </c>
      <c r="T71" t="s">
        <v>630</v>
      </c>
      <c r="U71" s="4" t="s">
        <v>637</v>
      </c>
      <c r="V71">
        <v>0.25</v>
      </c>
      <c r="W71" s="106">
        <f t="shared" si="10"/>
        <v>1562.1175000000001</v>
      </c>
    </row>
    <row r="72" spans="1:23" ht="15" hidden="1" customHeight="1" x14ac:dyDescent="0.25">
      <c r="A72" s="96">
        <v>2018</v>
      </c>
      <c r="B72" s="84" t="s">
        <v>68</v>
      </c>
      <c r="C72" s="78">
        <v>153</v>
      </c>
      <c r="D72" s="186"/>
      <c r="E72" s="77" t="s">
        <v>668</v>
      </c>
      <c r="F72" s="186"/>
      <c r="G72" s="99">
        <v>3347.4</v>
      </c>
      <c r="H72" s="133" t="s">
        <v>625</v>
      </c>
      <c r="I72" s="182">
        <f t="shared" si="11"/>
        <v>3347.4</v>
      </c>
      <c r="J72" s="135" t="s">
        <v>635</v>
      </c>
      <c r="K72" s="136">
        <v>3347.4</v>
      </c>
      <c r="O72" s="4"/>
      <c r="P72" s="4" t="s">
        <v>636</v>
      </c>
      <c r="S72" t="s">
        <v>646</v>
      </c>
      <c r="T72" t="s">
        <v>630</v>
      </c>
      <c r="U72" s="4" t="s">
        <v>637</v>
      </c>
      <c r="V72">
        <v>0.25</v>
      </c>
      <c r="W72" s="106">
        <f t="shared" si="10"/>
        <v>836.85</v>
      </c>
    </row>
    <row r="73" spans="1:23" ht="15" hidden="1" customHeight="1" x14ac:dyDescent="0.25">
      <c r="A73" s="96">
        <v>2018</v>
      </c>
      <c r="B73" s="84" t="s">
        <v>68</v>
      </c>
      <c r="C73" s="78">
        <v>153</v>
      </c>
      <c r="D73" s="186"/>
      <c r="E73" s="77" t="s">
        <v>668</v>
      </c>
      <c r="F73" s="186"/>
      <c r="G73" s="99">
        <v>16743.060000000001</v>
      </c>
      <c r="H73" s="133" t="s">
        <v>625</v>
      </c>
      <c r="I73" s="182">
        <f t="shared" si="11"/>
        <v>16743.060000000001</v>
      </c>
      <c r="J73" s="135"/>
      <c r="K73" s="136">
        <f>G73</f>
        <v>16743.060000000001</v>
      </c>
      <c r="O73" s="4"/>
      <c r="P73" s="4" t="s">
        <v>636</v>
      </c>
      <c r="S73" t="s">
        <v>646</v>
      </c>
      <c r="T73" t="s">
        <v>630</v>
      </c>
      <c r="U73" s="4" t="s">
        <v>637</v>
      </c>
      <c r="V73">
        <v>0.25</v>
      </c>
      <c r="W73" s="106">
        <f t="shared" si="10"/>
        <v>4185.7650000000003</v>
      </c>
    </row>
    <row r="74" spans="1:23" ht="15" hidden="1" customHeight="1" x14ac:dyDescent="0.25">
      <c r="A74" s="187">
        <v>2018</v>
      </c>
      <c r="B74" s="188" t="s">
        <v>68</v>
      </c>
      <c r="C74" s="189">
        <v>164</v>
      </c>
      <c r="D74" s="98"/>
      <c r="E74" s="190" t="s">
        <v>671</v>
      </c>
      <c r="F74" s="98"/>
      <c r="G74" s="191">
        <v>3680.07</v>
      </c>
      <c r="H74" s="192" t="s">
        <v>667</v>
      </c>
      <c r="I74" s="160">
        <f t="shared" si="11"/>
        <v>3680.07</v>
      </c>
      <c r="J74" s="135" t="s">
        <v>626</v>
      </c>
      <c r="K74" s="193">
        <v>0</v>
      </c>
      <c r="O74" s="4"/>
      <c r="P74" s="4" t="s">
        <v>629</v>
      </c>
      <c r="S74" t="s">
        <v>646</v>
      </c>
      <c r="T74" t="s">
        <v>630</v>
      </c>
      <c r="U74" t="s">
        <v>632</v>
      </c>
    </row>
    <row r="75" spans="1:23" ht="15.75" hidden="1" customHeight="1" x14ac:dyDescent="0.25">
      <c r="A75" s="194">
        <v>2018</v>
      </c>
      <c r="B75" s="195" t="s">
        <v>68</v>
      </c>
      <c r="C75" s="196">
        <v>164</v>
      </c>
      <c r="D75" s="98"/>
      <c r="E75" s="197" t="s">
        <v>671</v>
      </c>
      <c r="F75" s="98"/>
      <c r="G75" s="198">
        <v>1243.25</v>
      </c>
      <c r="H75" s="199" t="s">
        <v>667</v>
      </c>
      <c r="I75" s="160">
        <f t="shared" si="11"/>
        <v>1243.25</v>
      </c>
      <c r="J75" s="135" t="s">
        <v>626</v>
      </c>
      <c r="K75" s="200">
        <v>0</v>
      </c>
      <c r="O75" s="4"/>
      <c r="P75" s="4" t="s">
        <v>629</v>
      </c>
      <c r="S75" t="s">
        <v>646</v>
      </c>
      <c r="T75" t="s">
        <v>630</v>
      </c>
      <c r="U75" t="s">
        <v>632</v>
      </c>
    </row>
    <row r="76" spans="1:23" hidden="1" x14ac:dyDescent="0.25">
      <c r="A76" s="96">
        <v>2018</v>
      </c>
      <c r="B76" s="84" t="s">
        <v>68</v>
      </c>
      <c r="C76" s="78">
        <v>442</v>
      </c>
      <c r="D76" s="186"/>
      <c r="E76" s="77" t="s">
        <v>672</v>
      </c>
      <c r="F76" s="186"/>
      <c r="G76" s="99">
        <v>104.42</v>
      </c>
      <c r="H76" s="133" t="s">
        <v>625</v>
      </c>
      <c r="I76" s="182">
        <f t="shared" si="11"/>
        <v>104.42</v>
      </c>
      <c r="J76" s="135" t="s">
        <v>626</v>
      </c>
      <c r="K76" s="136">
        <v>104.42</v>
      </c>
      <c r="O76" s="4"/>
      <c r="P76" s="4" t="s">
        <v>629</v>
      </c>
      <c r="S76" t="s">
        <v>646</v>
      </c>
      <c r="T76" t="s">
        <v>630</v>
      </c>
      <c r="U76" t="s">
        <v>632</v>
      </c>
      <c r="V76">
        <v>0.25</v>
      </c>
      <c r="W76" s="106">
        <f>K76*V76</f>
        <v>26.105</v>
      </c>
    </row>
    <row r="77" spans="1:23" ht="15" hidden="1" customHeight="1" x14ac:dyDescent="0.25">
      <c r="A77" s="187">
        <v>2018</v>
      </c>
      <c r="B77" s="188" t="s">
        <v>74</v>
      </c>
      <c r="C77" s="189">
        <v>255</v>
      </c>
      <c r="D77" s="98"/>
      <c r="E77" s="201" t="s">
        <v>673</v>
      </c>
      <c r="F77" s="98"/>
      <c r="G77" s="191">
        <v>3</v>
      </c>
      <c r="H77" s="192" t="s">
        <v>667</v>
      </c>
      <c r="I77" s="160">
        <f t="shared" si="11"/>
        <v>3</v>
      </c>
      <c r="J77" s="135" t="s">
        <v>648</v>
      </c>
      <c r="K77" s="193">
        <v>0</v>
      </c>
      <c r="O77" s="4"/>
      <c r="P77" s="4"/>
      <c r="S77" t="s">
        <v>646</v>
      </c>
      <c r="T77" s="4" t="s">
        <v>630</v>
      </c>
    </row>
    <row r="78" spans="1:23" ht="15.75" hidden="1" customHeight="1" x14ac:dyDescent="0.25">
      <c r="A78" s="194">
        <v>2018</v>
      </c>
      <c r="B78" s="194" t="s">
        <v>79</v>
      </c>
      <c r="C78" s="196">
        <v>26</v>
      </c>
      <c r="D78" s="98"/>
      <c r="E78" s="197" t="s">
        <v>650</v>
      </c>
      <c r="F78" s="98"/>
      <c r="G78" s="198">
        <v>0.04</v>
      </c>
      <c r="H78" s="199" t="s">
        <v>667</v>
      </c>
      <c r="I78" s="160">
        <f t="shared" si="11"/>
        <v>0.04</v>
      </c>
      <c r="J78" s="158" t="s">
        <v>674</v>
      </c>
      <c r="K78" s="202">
        <v>0</v>
      </c>
      <c r="O78" s="4"/>
      <c r="P78" s="4"/>
      <c r="S78" t="s">
        <v>646</v>
      </c>
      <c r="T78" t="s">
        <v>630</v>
      </c>
    </row>
    <row r="79" spans="1:23" ht="15" hidden="1" customHeight="1" x14ac:dyDescent="0.25">
      <c r="A79" s="96">
        <v>2018</v>
      </c>
      <c r="B79" s="96" t="s">
        <v>79</v>
      </c>
      <c r="C79" s="78">
        <v>188</v>
      </c>
      <c r="D79" s="186"/>
      <c r="E79" s="203" t="s">
        <v>675</v>
      </c>
      <c r="F79" s="186"/>
      <c r="G79" s="99">
        <v>14.6</v>
      </c>
      <c r="H79" s="133" t="s">
        <v>625</v>
      </c>
      <c r="I79" s="182">
        <f t="shared" si="11"/>
        <v>14.6</v>
      </c>
      <c r="J79" s="158" t="s">
        <v>676</v>
      </c>
      <c r="K79" s="185">
        <f t="shared" ref="K79:K84" si="12">I79</f>
        <v>14.6</v>
      </c>
      <c r="O79" s="4"/>
      <c r="P79" s="4"/>
      <c r="S79" t="s">
        <v>646</v>
      </c>
      <c r="T79" t="s">
        <v>630</v>
      </c>
      <c r="V79">
        <v>0.25</v>
      </c>
      <c r="W79" s="106">
        <f>K79*V79</f>
        <v>3.65</v>
      </c>
    </row>
    <row r="80" spans="1:23" ht="15.75" hidden="1" customHeight="1" x14ac:dyDescent="0.25">
      <c r="A80" s="151">
        <v>2018</v>
      </c>
      <c r="B80" s="151" t="s">
        <v>79</v>
      </c>
      <c r="C80" s="152">
        <v>188</v>
      </c>
      <c r="D80" s="98"/>
      <c r="E80" s="204" t="s">
        <v>673</v>
      </c>
      <c r="F80" s="98"/>
      <c r="G80" s="205">
        <v>1459.87</v>
      </c>
      <c r="H80" s="156" t="s">
        <v>667</v>
      </c>
      <c r="I80" s="160">
        <f t="shared" si="11"/>
        <v>1459.87</v>
      </c>
      <c r="J80" s="158" t="s">
        <v>676</v>
      </c>
      <c r="K80" s="206">
        <v>0</v>
      </c>
      <c r="O80" s="4"/>
      <c r="P80" s="4"/>
      <c r="S80" t="s">
        <v>646</v>
      </c>
      <c r="T80" t="s">
        <v>630</v>
      </c>
    </row>
    <row r="81" spans="1:21" ht="15" hidden="1" customHeight="1" x14ac:dyDescent="0.25">
      <c r="A81" s="96">
        <v>2018</v>
      </c>
      <c r="B81" s="84" t="s">
        <v>122</v>
      </c>
      <c r="C81" s="78">
        <v>365</v>
      </c>
      <c r="D81" s="186"/>
      <c r="E81" s="68" t="s">
        <v>801</v>
      </c>
      <c r="F81" s="186"/>
      <c r="G81" s="99">
        <v>11688723.050000001</v>
      </c>
      <c r="H81" s="133" t="s">
        <v>625</v>
      </c>
      <c r="I81" s="182">
        <f t="shared" si="11"/>
        <v>11688723.050000001</v>
      </c>
      <c r="J81" s="158" t="s">
        <v>644</v>
      </c>
      <c r="K81" s="136">
        <f t="shared" si="12"/>
        <v>11688723.050000001</v>
      </c>
      <c r="O81" s="4"/>
      <c r="P81" s="4"/>
      <c r="S81" t="s">
        <v>646</v>
      </c>
      <c r="T81" t="s">
        <v>630</v>
      </c>
    </row>
    <row r="82" spans="1:21" ht="15" hidden="1" customHeight="1" x14ac:dyDescent="0.25">
      <c r="A82" s="96">
        <v>2018</v>
      </c>
      <c r="B82" s="84" t="s">
        <v>142</v>
      </c>
      <c r="C82" s="78">
        <v>235</v>
      </c>
      <c r="D82" s="186"/>
      <c r="E82" s="207" t="s">
        <v>677</v>
      </c>
      <c r="F82" s="186"/>
      <c r="G82" s="99">
        <v>88720.34</v>
      </c>
      <c r="H82" s="133" t="s">
        <v>656</v>
      </c>
      <c r="I82" s="182">
        <f t="shared" si="11"/>
        <v>88720.34</v>
      </c>
      <c r="J82" s="208" t="s">
        <v>678</v>
      </c>
      <c r="K82" s="136">
        <f>G82-12541.7</f>
        <v>76178.64</v>
      </c>
      <c r="O82" s="4"/>
      <c r="P82" s="4"/>
      <c r="S82" t="s">
        <v>646</v>
      </c>
      <c r="T82" s="4" t="s">
        <v>630</v>
      </c>
    </row>
    <row r="83" spans="1:21" ht="27.75" hidden="1" customHeight="1" x14ac:dyDescent="0.25">
      <c r="A83" s="96">
        <v>2018</v>
      </c>
      <c r="B83" s="84" t="s">
        <v>142</v>
      </c>
      <c r="C83" s="78">
        <v>430</v>
      </c>
      <c r="D83" s="186"/>
      <c r="E83" s="207" t="s">
        <v>679</v>
      </c>
      <c r="F83" s="186"/>
      <c r="G83" s="99">
        <v>384469.03</v>
      </c>
      <c r="H83" s="133" t="s">
        <v>656</v>
      </c>
      <c r="I83" s="182">
        <f t="shared" si="11"/>
        <v>384469.03</v>
      </c>
      <c r="J83" s="208" t="s">
        <v>678</v>
      </c>
      <c r="K83" s="136">
        <f>G83-41812.91</f>
        <v>342656.12</v>
      </c>
      <c r="O83" s="4"/>
      <c r="P83" s="4"/>
      <c r="S83" t="s">
        <v>646</v>
      </c>
      <c r="T83" s="4" t="s">
        <v>630</v>
      </c>
    </row>
    <row r="84" spans="1:21" ht="24.75" hidden="1" customHeight="1" x14ac:dyDescent="0.25">
      <c r="A84" s="96">
        <v>2018</v>
      </c>
      <c r="B84" s="96" t="s">
        <v>176</v>
      </c>
      <c r="C84" s="78">
        <v>101</v>
      </c>
      <c r="D84" s="186"/>
      <c r="E84" s="176" t="s">
        <v>802</v>
      </c>
      <c r="F84" s="186"/>
      <c r="G84" s="99">
        <v>544.57000000000005</v>
      </c>
      <c r="H84" s="133" t="s">
        <v>625</v>
      </c>
      <c r="I84" s="182">
        <f t="shared" si="11"/>
        <v>544.57000000000005</v>
      </c>
      <c r="J84" s="158" t="s">
        <v>663</v>
      </c>
      <c r="K84" s="185">
        <f t="shared" si="12"/>
        <v>544.57000000000005</v>
      </c>
      <c r="O84" s="4"/>
      <c r="P84" s="4" t="s">
        <v>803</v>
      </c>
      <c r="S84" t="s">
        <v>646</v>
      </c>
      <c r="T84" s="4" t="s">
        <v>630</v>
      </c>
    </row>
    <row r="85" spans="1:21" ht="10.5" hidden="1" customHeight="1" x14ac:dyDescent="0.25">
      <c r="A85" s="187">
        <v>2018</v>
      </c>
      <c r="B85" s="187" t="s">
        <v>176</v>
      </c>
      <c r="C85" s="189">
        <v>266</v>
      </c>
      <c r="D85" s="98"/>
      <c r="E85" s="209" t="s">
        <v>675</v>
      </c>
      <c r="F85" s="98"/>
      <c r="G85" s="191">
        <v>14</v>
      </c>
      <c r="H85" s="192" t="s">
        <v>667</v>
      </c>
      <c r="I85" s="160">
        <f t="shared" si="11"/>
        <v>14</v>
      </c>
      <c r="J85" s="158" t="s">
        <v>663</v>
      </c>
      <c r="K85" s="210">
        <v>0</v>
      </c>
      <c r="O85" s="4"/>
      <c r="P85" s="4"/>
      <c r="S85" t="s">
        <v>646</v>
      </c>
      <c r="T85" t="s">
        <v>630</v>
      </c>
    </row>
    <row r="86" spans="1:21" ht="12.75" hidden="1" customHeight="1" x14ac:dyDescent="0.25">
      <c r="A86" s="194">
        <v>2018</v>
      </c>
      <c r="B86" s="194" t="s">
        <v>176</v>
      </c>
      <c r="C86" s="196">
        <v>266</v>
      </c>
      <c r="D86" s="98"/>
      <c r="E86" s="211" t="s">
        <v>681</v>
      </c>
      <c r="F86" s="98"/>
      <c r="G86" s="198">
        <v>14</v>
      </c>
      <c r="H86" s="199" t="s">
        <v>667</v>
      </c>
      <c r="I86" s="160">
        <f t="shared" si="11"/>
        <v>14</v>
      </c>
      <c r="J86" s="158" t="s">
        <v>663</v>
      </c>
      <c r="K86" s="200">
        <v>0</v>
      </c>
      <c r="O86" s="4"/>
      <c r="P86" s="4"/>
      <c r="S86" t="s">
        <v>646</v>
      </c>
      <c r="T86" s="4" t="s">
        <v>630</v>
      </c>
    </row>
    <row r="87" spans="1:21" ht="23.25" hidden="1" customHeight="1" x14ac:dyDescent="0.25">
      <c r="A87" s="96">
        <v>2018</v>
      </c>
      <c r="B87" s="96" t="s">
        <v>176</v>
      </c>
      <c r="C87" s="78">
        <v>280</v>
      </c>
      <c r="D87" s="186"/>
      <c r="E87" s="176" t="s">
        <v>804</v>
      </c>
      <c r="F87" s="186"/>
      <c r="G87" s="99">
        <v>502.28</v>
      </c>
      <c r="H87" s="133" t="s">
        <v>625</v>
      </c>
      <c r="I87" s="182">
        <f t="shared" si="11"/>
        <v>502.28</v>
      </c>
      <c r="J87" s="158" t="s">
        <v>663</v>
      </c>
      <c r="K87" s="185">
        <f t="shared" ref="K87:K89" si="13">I87</f>
        <v>502.28</v>
      </c>
      <c r="O87" s="4"/>
      <c r="P87" s="4" t="s">
        <v>803</v>
      </c>
      <c r="S87" t="s">
        <v>646</v>
      </c>
      <c r="T87" s="4" t="s">
        <v>630</v>
      </c>
    </row>
    <row r="88" spans="1:21" ht="15" hidden="1" customHeight="1" x14ac:dyDescent="0.25">
      <c r="A88" s="96">
        <v>2018</v>
      </c>
      <c r="B88" s="96" t="s">
        <v>176</v>
      </c>
      <c r="C88" s="78">
        <v>290</v>
      </c>
      <c r="D88" s="186"/>
      <c r="E88" s="203" t="s">
        <v>805</v>
      </c>
      <c r="F88" s="186"/>
      <c r="G88" s="99">
        <v>2852.52</v>
      </c>
      <c r="H88" s="133" t="s">
        <v>625</v>
      </c>
      <c r="I88" s="182">
        <f t="shared" si="11"/>
        <v>2852.52</v>
      </c>
      <c r="J88" s="158" t="s">
        <v>663</v>
      </c>
      <c r="K88" s="185">
        <f t="shared" si="13"/>
        <v>2852.52</v>
      </c>
      <c r="O88" s="4"/>
      <c r="P88" s="4" t="s">
        <v>794</v>
      </c>
      <c r="S88" t="s">
        <v>646</v>
      </c>
      <c r="T88" s="4" t="s">
        <v>630</v>
      </c>
    </row>
    <row r="89" spans="1:21" ht="15.75" hidden="1" customHeight="1" x14ac:dyDescent="0.25">
      <c r="A89" s="96">
        <v>2018</v>
      </c>
      <c r="B89" s="96" t="s">
        <v>176</v>
      </c>
      <c r="C89" s="78">
        <v>291</v>
      </c>
      <c r="D89" s="186"/>
      <c r="E89" s="203" t="s">
        <v>806</v>
      </c>
      <c r="F89" s="186"/>
      <c r="G89" s="99">
        <v>2382.21</v>
      </c>
      <c r="H89" s="133" t="s">
        <v>625</v>
      </c>
      <c r="I89" s="182">
        <f t="shared" si="11"/>
        <v>2382.21</v>
      </c>
      <c r="J89" s="158" t="s">
        <v>663</v>
      </c>
      <c r="K89" s="185">
        <f t="shared" si="13"/>
        <v>2382.21</v>
      </c>
      <c r="O89" s="4"/>
      <c r="P89" s="4" t="s">
        <v>794</v>
      </c>
      <c r="S89" t="s">
        <v>646</v>
      </c>
      <c r="T89" s="4" t="s">
        <v>630</v>
      </c>
    </row>
    <row r="90" spans="1:21" ht="15.75" hidden="1" customHeight="1" x14ac:dyDescent="0.25">
      <c r="A90" s="187">
        <v>2019</v>
      </c>
      <c r="B90" s="187" t="s">
        <v>48</v>
      </c>
      <c r="C90" s="189">
        <v>444</v>
      </c>
      <c r="D90" s="98"/>
      <c r="E90" s="209" t="s">
        <v>682</v>
      </c>
      <c r="F90" s="98"/>
      <c r="G90" s="191">
        <v>1312253.6200000001</v>
      </c>
      <c r="H90" s="192" t="s">
        <v>667</v>
      </c>
      <c r="I90" s="160"/>
      <c r="J90" s="158"/>
      <c r="K90" s="193">
        <v>0</v>
      </c>
      <c r="O90" s="4"/>
      <c r="P90" s="4"/>
      <c r="T90" s="4" t="s">
        <v>630</v>
      </c>
    </row>
    <row r="91" spans="1:21" ht="15.75" hidden="1" customHeight="1" x14ac:dyDescent="0.25">
      <c r="A91" s="194">
        <v>2019</v>
      </c>
      <c r="B91" s="194" t="s">
        <v>54</v>
      </c>
      <c r="C91" s="196">
        <v>444</v>
      </c>
      <c r="D91" s="98"/>
      <c r="E91" s="211" t="s">
        <v>682</v>
      </c>
      <c r="F91" s="98"/>
      <c r="G91" s="198">
        <v>587020.84</v>
      </c>
      <c r="H91" s="199" t="s">
        <v>667</v>
      </c>
      <c r="I91" s="160"/>
      <c r="J91" s="158"/>
      <c r="K91" s="200">
        <v>0</v>
      </c>
      <c r="O91" s="4"/>
      <c r="P91" s="4"/>
      <c r="T91" s="4" t="s">
        <v>630</v>
      </c>
    </row>
    <row r="92" spans="1:21" ht="15" hidden="1" customHeight="1" x14ac:dyDescent="0.25">
      <c r="A92" s="96">
        <v>2019</v>
      </c>
      <c r="B92" s="96" t="s">
        <v>68</v>
      </c>
      <c r="C92" s="100">
        <v>9</v>
      </c>
      <c r="D92" s="186"/>
      <c r="E92" s="203" t="s">
        <v>683</v>
      </c>
      <c r="F92" s="186"/>
      <c r="G92" s="99">
        <v>3132</v>
      </c>
      <c r="H92" s="133" t="s">
        <v>625</v>
      </c>
      <c r="I92" s="182">
        <f t="shared" si="11"/>
        <v>3132</v>
      </c>
      <c r="J92" s="212"/>
      <c r="K92" s="136">
        <f>G92</f>
        <v>3132</v>
      </c>
      <c r="O92" s="4" t="s">
        <v>684</v>
      </c>
      <c r="P92" s="4" t="s">
        <v>636</v>
      </c>
      <c r="S92" t="s">
        <v>631</v>
      </c>
      <c r="T92" t="s">
        <v>630</v>
      </c>
      <c r="U92" s="4" t="s">
        <v>637</v>
      </c>
    </row>
    <row r="93" spans="1:21" ht="15" hidden="1" customHeight="1" x14ac:dyDescent="0.25">
      <c r="A93" s="96">
        <v>2019</v>
      </c>
      <c r="B93" s="96" t="s">
        <v>68</v>
      </c>
      <c r="C93" s="100">
        <v>34</v>
      </c>
      <c r="D93" s="186"/>
      <c r="E93" s="203" t="s">
        <v>683</v>
      </c>
      <c r="F93" s="186"/>
      <c r="G93" s="99">
        <v>3236.4</v>
      </c>
      <c r="H93" s="133" t="s">
        <v>625</v>
      </c>
      <c r="I93" s="182">
        <f t="shared" si="11"/>
        <v>3236.4</v>
      </c>
      <c r="J93" s="212"/>
      <c r="K93" s="136">
        <f t="shared" ref="K93:K109" si="14">G93</f>
        <v>3236.4</v>
      </c>
      <c r="O93" s="4" t="s">
        <v>684</v>
      </c>
      <c r="P93" s="4" t="s">
        <v>636</v>
      </c>
      <c r="S93" t="s">
        <v>631</v>
      </c>
      <c r="T93" t="s">
        <v>630</v>
      </c>
      <c r="U93" s="4" t="s">
        <v>637</v>
      </c>
    </row>
    <row r="94" spans="1:21" ht="15" hidden="1" customHeight="1" x14ac:dyDescent="0.25">
      <c r="A94" s="96">
        <v>2019</v>
      </c>
      <c r="B94" s="96" t="s">
        <v>68</v>
      </c>
      <c r="C94" s="100">
        <v>58</v>
      </c>
      <c r="D94" s="186"/>
      <c r="E94" s="203" t="s">
        <v>683</v>
      </c>
      <c r="F94" s="186"/>
      <c r="G94" s="99">
        <v>3236.4</v>
      </c>
      <c r="H94" s="133" t="s">
        <v>625</v>
      </c>
      <c r="I94" s="182">
        <f t="shared" si="11"/>
        <v>3236.4</v>
      </c>
      <c r="J94" s="212"/>
      <c r="K94" s="136">
        <f t="shared" si="14"/>
        <v>3236.4</v>
      </c>
      <c r="O94" s="4" t="s">
        <v>684</v>
      </c>
      <c r="P94" s="4" t="s">
        <v>636</v>
      </c>
      <c r="S94" t="s">
        <v>631</v>
      </c>
      <c r="T94" t="s">
        <v>630</v>
      </c>
      <c r="U94" s="4" t="s">
        <v>637</v>
      </c>
    </row>
    <row r="95" spans="1:21" ht="15" hidden="1" customHeight="1" x14ac:dyDescent="0.25">
      <c r="A95" s="96">
        <v>2019</v>
      </c>
      <c r="B95" s="96" t="s">
        <v>68</v>
      </c>
      <c r="C95" s="100">
        <v>84</v>
      </c>
      <c r="D95" s="186"/>
      <c r="E95" s="203" t="s">
        <v>683</v>
      </c>
      <c r="F95" s="186"/>
      <c r="G95" s="99">
        <v>2923.2</v>
      </c>
      <c r="H95" s="133" t="s">
        <v>625</v>
      </c>
      <c r="I95" s="182">
        <f t="shared" si="11"/>
        <v>2923.2</v>
      </c>
      <c r="J95" s="212"/>
      <c r="K95" s="136">
        <f t="shared" si="14"/>
        <v>2923.2</v>
      </c>
      <c r="O95" s="4" t="s">
        <v>684</v>
      </c>
      <c r="P95" s="4" t="s">
        <v>636</v>
      </c>
      <c r="S95" t="s">
        <v>631</v>
      </c>
      <c r="T95" t="s">
        <v>630</v>
      </c>
      <c r="U95" s="4" t="s">
        <v>637</v>
      </c>
    </row>
    <row r="96" spans="1:21" ht="15" hidden="1" customHeight="1" x14ac:dyDescent="0.25">
      <c r="A96" s="96">
        <v>2019</v>
      </c>
      <c r="B96" s="96" t="s">
        <v>68</v>
      </c>
      <c r="C96" s="100">
        <v>151</v>
      </c>
      <c r="D96" s="186"/>
      <c r="E96" s="203" t="s">
        <v>683</v>
      </c>
      <c r="F96" s="186"/>
      <c r="G96" s="99">
        <v>3236.4</v>
      </c>
      <c r="H96" s="133" t="s">
        <v>625</v>
      </c>
      <c r="I96" s="182">
        <f t="shared" si="11"/>
        <v>3236.4</v>
      </c>
      <c r="J96" s="212"/>
      <c r="K96" s="136">
        <f t="shared" si="14"/>
        <v>3236.4</v>
      </c>
      <c r="O96" s="4" t="s">
        <v>684</v>
      </c>
      <c r="P96" s="4" t="s">
        <v>636</v>
      </c>
      <c r="S96" t="s">
        <v>631</v>
      </c>
      <c r="T96" t="s">
        <v>630</v>
      </c>
      <c r="U96" s="4" t="s">
        <v>637</v>
      </c>
    </row>
    <row r="97" spans="1:21" ht="15" hidden="1" customHeight="1" x14ac:dyDescent="0.25">
      <c r="A97" s="96">
        <v>2019</v>
      </c>
      <c r="B97" s="96" t="s">
        <v>68</v>
      </c>
      <c r="C97" s="100">
        <v>151</v>
      </c>
      <c r="D97" s="186"/>
      <c r="E97" s="203" t="s">
        <v>683</v>
      </c>
      <c r="F97" s="186"/>
      <c r="G97" s="99">
        <v>3132</v>
      </c>
      <c r="H97" s="133" t="s">
        <v>625</v>
      </c>
      <c r="I97" s="182">
        <f t="shared" si="11"/>
        <v>3132</v>
      </c>
      <c r="J97" s="212"/>
      <c r="K97" s="136">
        <f t="shared" si="14"/>
        <v>3132</v>
      </c>
      <c r="O97" s="4" t="s">
        <v>684</v>
      </c>
      <c r="P97" s="4" t="s">
        <v>636</v>
      </c>
      <c r="S97" t="s">
        <v>631</v>
      </c>
      <c r="T97" t="s">
        <v>630</v>
      </c>
      <c r="U97" s="4" t="s">
        <v>637</v>
      </c>
    </row>
    <row r="98" spans="1:21" ht="15" hidden="1" customHeight="1" x14ac:dyDescent="0.25">
      <c r="A98" s="96">
        <v>2019</v>
      </c>
      <c r="B98" s="96" t="s">
        <v>68</v>
      </c>
      <c r="C98" s="100">
        <v>188</v>
      </c>
      <c r="D98" s="186"/>
      <c r="E98" s="203" t="s">
        <v>683</v>
      </c>
      <c r="F98" s="186"/>
      <c r="G98" s="99">
        <v>3236.4</v>
      </c>
      <c r="H98" s="133" t="s">
        <v>625</v>
      </c>
      <c r="I98" s="182">
        <f t="shared" si="11"/>
        <v>3236.4</v>
      </c>
      <c r="J98" s="212"/>
      <c r="K98" s="136">
        <f t="shared" si="14"/>
        <v>3236.4</v>
      </c>
      <c r="O98" s="4" t="s">
        <v>684</v>
      </c>
      <c r="P98" s="4" t="s">
        <v>636</v>
      </c>
      <c r="S98" t="s">
        <v>631</v>
      </c>
      <c r="T98" t="s">
        <v>630</v>
      </c>
      <c r="U98" s="4" t="s">
        <v>637</v>
      </c>
    </row>
    <row r="99" spans="1:21" ht="15" hidden="1" customHeight="1" x14ac:dyDescent="0.25">
      <c r="A99" s="96">
        <v>2019</v>
      </c>
      <c r="B99" s="96" t="s">
        <v>68</v>
      </c>
      <c r="C99" s="100">
        <v>203</v>
      </c>
      <c r="D99" s="186"/>
      <c r="E99" s="203" t="s">
        <v>683</v>
      </c>
      <c r="F99" s="186"/>
      <c r="G99" s="99">
        <v>3132</v>
      </c>
      <c r="H99" s="133" t="s">
        <v>625</v>
      </c>
      <c r="I99" s="182">
        <f t="shared" si="11"/>
        <v>3132</v>
      </c>
      <c r="J99" s="212"/>
      <c r="K99" s="136">
        <f t="shared" si="14"/>
        <v>3132</v>
      </c>
      <c r="O99" s="4" t="s">
        <v>684</v>
      </c>
      <c r="P99" s="4" t="s">
        <v>636</v>
      </c>
      <c r="S99" t="s">
        <v>631</v>
      </c>
      <c r="T99" t="s">
        <v>630</v>
      </c>
      <c r="U99" s="4" t="s">
        <v>637</v>
      </c>
    </row>
    <row r="100" spans="1:21" ht="15" hidden="1" customHeight="1" x14ac:dyDescent="0.25">
      <c r="A100" s="187">
        <v>2019</v>
      </c>
      <c r="B100" s="187" t="s">
        <v>68</v>
      </c>
      <c r="C100" s="213">
        <v>203</v>
      </c>
      <c r="D100" s="98"/>
      <c r="E100" s="209" t="s">
        <v>687</v>
      </c>
      <c r="F100" s="98"/>
      <c r="G100" s="191">
        <v>1701</v>
      </c>
      <c r="H100" s="192" t="s">
        <v>667</v>
      </c>
      <c r="I100" s="160">
        <f t="shared" si="11"/>
        <v>1701</v>
      </c>
      <c r="J100" s="212"/>
      <c r="K100" s="193">
        <v>0</v>
      </c>
      <c r="O100" s="4" t="s">
        <v>684</v>
      </c>
      <c r="P100" s="4"/>
      <c r="T100" t="s">
        <v>630</v>
      </c>
      <c r="U100" s="4" t="s">
        <v>637</v>
      </c>
    </row>
    <row r="101" spans="1:21" ht="15" hidden="1" customHeight="1" x14ac:dyDescent="0.25">
      <c r="A101" s="194">
        <v>2019</v>
      </c>
      <c r="B101" s="194" t="s">
        <v>68</v>
      </c>
      <c r="C101" s="214">
        <v>249</v>
      </c>
      <c r="D101" s="98"/>
      <c r="E101" s="211" t="s">
        <v>688</v>
      </c>
      <c r="F101" s="98"/>
      <c r="G101" s="198">
        <v>94</v>
      </c>
      <c r="H101" s="199" t="s">
        <v>667</v>
      </c>
      <c r="I101" s="160">
        <f t="shared" si="11"/>
        <v>94</v>
      </c>
      <c r="J101" s="212"/>
      <c r="K101" s="200">
        <v>0</v>
      </c>
      <c r="O101" s="4" t="s">
        <v>686</v>
      </c>
      <c r="P101" s="4"/>
      <c r="T101" t="s">
        <v>630</v>
      </c>
      <c r="U101" t="s">
        <v>632</v>
      </c>
    </row>
    <row r="102" spans="1:21" ht="15" hidden="1" customHeight="1" x14ac:dyDescent="0.25">
      <c r="A102" s="96">
        <v>2019</v>
      </c>
      <c r="B102" s="96" t="s">
        <v>68</v>
      </c>
      <c r="C102" s="100">
        <v>256</v>
      </c>
      <c r="D102" s="186"/>
      <c r="E102" s="203" t="s">
        <v>683</v>
      </c>
      <c r="F102" s="186"/>
      <c r="G102" s="99">
        <v>3236.4</v>
      </c>
      <c r="H102" s="133" t="s">
        <v>625</v>
      </c>
      <c r="I102" s="182">
        <f t="shared" si="11"/>
        <v>3236.4</v>
      </c>
      <c r="J102" s="212"/>
      <c r="K102" s="136">
        <f t="shared" si="14"/>
        <v>3236.4</v>
      </c>
      <c r="O102" s="4" t="s">
        <v>684</v>
      </c>
      <c r="P102" s="4" t="s">
        <v>636</v>
      </c>
      <c r="S102" t="s">
        <v>631</v>
      </c>
      <c r="T102" t="s">
        <v>630</v>
      </c>
      <c r="U102" s="4" t="s">
        <v>637</v>
      </c>
    </row>
    <row r="103" spans="1:21" ht="15" hidden="1" customHeight="1" x14ac:dyDescent="0.25">
      <c r="A103" s="151">
        <v>2019</v>
      </c>
      <c r="B103" s="151" t="s">
        <v>68</v>
      </c>
      <c r="C103" s="215">
        <v>256</v>
      </c>
      <c r="D103" s="98"/>
      <c r="E103" s="204" t="s">
        <v>687</v>
      </c>
      <c r="F103" s="98"/>
      <c r="G103" s="205">
        <v>15934.5</v>
      </c>
      <c r="H103" s="156" t="s">
        <v>667</v>
      </c>
      <c r="I103" s="160">
        <f t="shared" si="11"/>
        <v>15934.5</v>
      </c>
      <c r="J103" s="212"/>
      <c r="K103" s="180">
        <v>0</v>
      </c>
      <c r="O103" s="4" t="s">
        <v>684</v>
      </c>
      <c r="P103" s="4"/>
      <c r="T103" t="s">
        <v>630</v>
      </c>
      <c r="U103" s="4" t="s">
        <v>637</v>
      </c>
    </row>
    <row r="104" spans="1:21" ht="15" hidden="1" customHeight="1" x14ac:dyDescent="0.25">
      <c r="A104" s="96">
        <v>2019</v>
      </c>
      <c r="B104" s="96" t="s">
        <v>68</v>
      </c>
      <c r="C104" s="100">
        <v>281</v>
      </c>
      <c r="D104" s="186"/>
      <c r="E104" s="203" t="s">
        <v>683</v>
      </c>
      <c r="F104" s="186"/>
      <c r="G104" s="99">
        <v>3236.4</v>
      </c>
      <c r="H104" s="133" t="s">
        <v>625</v>
      </c>
      <c r="I104" s="182">
        <f t="shared" si="11"/>
        <v>3236.4</v>
      </c>
      <c r="J104" s="212"/>
      <c r="K104" s="136">
        <f t="shared" si="14"/>
        <v>3236.4</v>
      </c>
      <c r="O104" s="4" t="s">
        <v>684</v>
      </c>
      <c r="P104" s="4" t="s">
        <v>636</v>
      </c>
      <c r="S104" t="s">
        <v>631</v>
      </c>
      <c r="T104" t="s">
        <v>630</v>
      </c>
      <c r="U104" s="4" t="s">
        <v>637</v>
      </c>
    </row>
    <row r="105" spans="1:21" ht="15" hidden="1" customHeight="1" x14ac:dyDescent="0.25">
      <c r="A105" s="96">
        <v>2019</v>
      </c>
      <c r="B105" s="96" t="s">
        <v>68</v>
      </c>
      <c r="C105" s="100">
        <v>298</v>
      </c>
      <c r="D105" s="186"/>
      <c r="E105" s="203" t="s">
        <v>683</v>
      </c>
      <c r="F105" s="186"/>
      <c r="G105" s="99">
        <v>3132</v>
      </c>
      <c r="H105" s="133" t="s">
        <v>625</v>
      </c>
      <c r="I105" s="182">
        <f t="shared" si="11"/>
        <v>3132</v>
      </c>
      <c r="J105" s="212"/>
      <c r="K105" s="136">
        <f t="shared" si="14"/>
        <v>3132</v>
      </c>
      <c r="O105" s="4" t="s">
        <v>684</v>
      </c>
      <c r="P105" s="4" t="s">
        <v>636</v>
      </c>
      <c r="S105" t="s">
        <v>631</v>
      </c>
      <c r="T105" t="s">
        <v>630</v>
      </c>
      <c r="U105" s="4" t="s">
        <v>637</v>
      </c>
    </row>
    <row r="106" spans="1:21" ht="15" hidden="1" customHeight="1" x14ac:dyDescent="0.25">
      <c r="A106" s="96">
        <v>2019</v>
      </c>
      <c r="B106" s="96" t="s">
        <v>68</v>
      </c>
      <c r="C106" s="100">
        <v>338</v>
      </c>
      <c r="D106" s="186"/>
      <c r="E106" s="203" t="s">
        <v>683</v>
      </c>
      <c r="F106" s="186"/>
      <c r="G106" s="99">
        <v>3236.4</v>
      </c>
      <c r="H106" s="133" t="s">
        <v>625</v>
      </c>
      <c r="I106" s="182">
        <f t="shared" si="11"/>
        <v>3236.4</v>
      </c>
      <c r="J106" s="212"/>
      <c r="K106" s="136">
        <f t="shared" si="14"/>
        <v>3236.4</v>
      </c>
      <c r="O106" s="4" t="s">
        <v>684</v>
      </c>
      <c r="P106" s="4" t="s">
        <v>636</v>
      </c>
      <c r="S106" t="s">
        <v>631</v>
      </c>
      <c r="T106" t="s">
        <v>630</v>
      </c>
      <c r="U106" s="4" t="s">
        <v>637</v>
      </c>
    </row>
    <row r="107" spans="1:21" ht="15" hidden="1" customHeight="1" x14ac:dyDescent="0.25">
      <c r="A107" s="187">
        <v>2019</v>
      </c>
      <c r="B107" s="187" t="s">
        <v>68</v>
      </c>
      <c r="C107" s="213">
        <v>370</v>
      </c>
      <c r="D107" s="98"/>
      <c r="E107" s="209" t="s">
        <v>689</v>
      </c>
      <c r="F107" s="98"/>
      <c r="G107" s="191">
        <v>960.84</v>
      </c>
      <c r="H107" s="192" t="s">
        <v>667</v>
      </c>
      <c r="I107" s="160">
        <f t="shared" si="11"/>
        <v>960.84</v>
      </c>
      <c r="J107" s="212"/>
      <c r="K107" s="193">
        <v>0</v>
      </c>
      <c r="O107" s="4" t="s">
        <v>684</v>
      </c>
      <c r="P107" s="4"/>
      <c r="T107" t="s">
        <v>630</v>
      </c>
      <c r="U107" s="4" t="s">
        <v>637</v>
      </c>
    </row>
    <row r="108" spans="1:21" ht="15" hidden="1" customHeight="1" x14ac:dyDescent="0.25">
      <c r="A108" s="194">
        <v>2019</v>
      </c>
      <c r="B108" s="194" t="s">
        <v>68</v>
      </c>
      <c r="C108" s="214">
        <v>370</v>
      </c>
      <c r="D108" s="98"/>
      <c r="E108" s="211" t="s">
        <v>690</v>
      </c>
      <c r="F108" s="98"/>
      <c r="G108" s="198">
        <v>9858</v>
      </c>
      <c r="H108" s="199" t="s">
        <v>667</v>
      </c>
      <c r="I108" s="160">
        <f t="shared" si="11"/>
        <v>9858</v>
      </c>
      <c r="J108" s="212"/>
      <c r="K108" s="200">
        <v>0</v>
      </c>
      <c r="O108" s="4" t="s">
        <v>684</v>
      </c>
      <c r="P108" s="4"/>
      <c r="T108" t="s">
        <v>630</v>
      </c>
      <c r="U108" s="4" t="s">
        <v>637</v>
      </c>
    </row>
    <row r="109" spans="1:21" ht="15" hidden="1" customHeight="1" x14ac:dyDescent="0.25">
      <c r="A109" s="96">
        <v>2019</v>
      </c>
      <c r="B109" s="96" t="s">
        <v>68</v>
      </c>
      <c r="C109" s="100">
        <v>370</v>
      </c>
      <c r="D109" s="186"/>
      <c r="E109" s="203" t="s">
        <v>683</v>
      </c>
      <c r="F109" s="186"/>
      <c r="G109" s="99">
        <v>3132</v>
      </c>
      <c r="H109" s="133" t="s">
        <v>625</v>
      </c>
      <c r="I109" s="182">
        <f t="shared" si="11"/>
        <v>3132</v>
      </c>
      <c r="J109" s="212"/>
      <c r="K109" s="136">
        <f t="shared" si="14"/>
        <v>3132</v>
      </c>
      <c r="O109" s="4" t="s">
        <v>684</v>
      </c>
      <c r="P109" s="4" t="s">
        <v>636</v>
      </c>
      <c r="S109" t="s">
        <v>631</v>
      </c>
      <c r="T109" t="s">
        <v>630</v>
      </c>
      <c r="U109" s="4" t="s">
        <v>637</v>
      </c>
    </row>
    <row r="110" spans="1:21" ht="15" hidden="1" customHeight="1" x14ac:dyDescent="0.25">
      <c r="A110" s="187">
        <v>2019</v>
      </c>
      <c r="B110" s="187" t="s">
        <v>68</v>
      </c>
      <c r="C110" s="213">
        <v>370</v>
      </c>
      <c r="D110" s="98"/>
      <c r="E110" s="209" t="s">
        <v>691</v>
      </c>
      <c r="F110" s="98"/>
      <c r="G110" s="191">
        <v>141.30000000000001</v>
      </c>
      <c r="H110" s="192" t="s">
        <v>667</v>
      </c>
      <c r="I110" s="160">
        <f t="shared" si="11"/>
        <v>141.30000000000001</v>
      </c>
      <c r="J110" s="212"/>
      <c r="K110" s="193">
        <v>0</v>
      </c>
      <c r="O110" s="4" t="s">
        <v>684</v>
      </c>
      <c r="P110" s="4"/>
      <c r="T110" t="s">
        <v>630</v>
      </c>
      <c r="U110" s="4" t="s">
        <v>637</v>
      </c>
    </row>
    <row r="111" spans="1:21" ht="15" hidden="1" customHeight="1" x14ac:dyDescent="0.25">
      <c r="A111" s="96">
        <v>2019</v>
      </c>
      <c r="B111" s="96" t="s">
        <v>68</v>
      </c>
      <c r="C111" s="100">
        <v>382</v>
      </c>
      <c r="D111" s="98"/>
      <c r="E111" s="216" t="s">
        <v>692</v>
      </c>
      <c r="F111" s="98"/>
      <c r="G111" s="99">
        <v>364.63</v>
      </c>
      <c r="H111" s="133" t="s">
        <v>667</v>
      </c>
      <c r="I111" s="160">
        <f t="shared" si="11"/>
        <v>364.63</v>
      </c>
      <c r="J111" s="212"/>
      <c r="K111" s="160">
        <v>0</v>
      </c>
      <c r="O111" s="4"/>
      <c r="P111" s="4"/>
      <c r="T111" t="s">
        <v>630</v>
      </c>
      <c r="U111" t="s">
        <v>632</v>
      </c>
    </row>
    <row r="112" spans="1:21" ht="15" hidden="1" customHeight="1" x14ac:dyDescent="0.25">
      <c r="A112" s="96">
        <v>2019</v>
      </c>
      <c r="B112" s="96" t="s">
        <v>68</v>
      </c>
      <c r="C112" s="100">
        <v>391</v>
      </c>
      <c r="D112" s="98"/>
      <c r="E112" s="216" t="s">
        <v>693</v>
      </c>
      <c r="F112" s="98"/>
      <c r="G112" s="99">
        <v>7.89</v>
      </c>
      <c r="H112" s="133" t="s">
        <v>667</v>
      </c>
      <c r="I112" s="160">
        <f t="shared" si="11"/>
        <v>7.89</v>
      </c>
      <c r="J112" s="212"/>
      <c r="K112" s="160">
        <v>0</v>
      </c>
      <c r="O112" s="4" t="s">
        <v>686</v>
      </c>
      <c r="P112" s="4"/>
      <c r="T112" t="s">
        <v>630</v>
      </c>
      <c r="U112" t="s">
        <v>632</v>
      </c>
    </row>
    <row r="113" spans="1:21" ht="15" hidden="1" customHeight="1" x14ac:dyDescent="0.25">
      <c r="A113" s="96">
        <v>2019</v>
      </c>
      <c r="B113" s="96" t="s">
        <v>68</v>
      </c>
      <c r="C113" s="100">
        <v>391</v>
      </c>
      <c r="D113" s="98"/>
      <c r="E113" s="216" t="s">
        <v>694</v>
      </c>
      <c r="F113" s="98"/>
      <c r="G113" s="99">
        <v>2978.27</v>
      </c>
      <c r="H113" s="133" t="s">
        <v>667</v>
      </c>
      <c r="I113" s="160">
        <f t="shared" si="11"/>
        <v>2978.27</v>
      </c>
      <c r="J113" s="212"/>
      <c r="K113" s="160">
        <v>0</v>
      </c>
      <c r="O113" s="4" t="s">
        <v>686</v>
      </c>
      <c r="P113" s="4"/>
      <c r="T113" t="s">
        <v>630</v>
      </c>
      <c r="U113" t="s">
        <v>632</v>
      </c>
    </row>
    <row r="114" spans="1:21" ht="15" hidden="1" customHeight="1" x14ac:dyDescent="0.25">
      <c r="A114" s="96">
        <v>2019</v>
      </c>
      <c r="B114" s="96" t="s">
        <v>68</v>
      </c>
      <c r="C114" s="100">
        <v>391</v>
      </c>
      <c r="D114" s="98"/>
      <c r="E114" s="216" t="s">
        <v>695</v>
      </c>
      <c r="F114" s="98"/>
      <c r="G114" s="99">
        <v>12402.56</v>
      </c>
      <c r="H114" s="133" t="s">
        <v>667</v>
      </c>
      <c r="I114" s="160">
        <f t="shared" si="11"/>
        <v>12402.56</v>
      </c>
      <c r="J114" s="212"/>
      <c r="K114" s="160">
        <v>0</v>
      </c>
      <c r="O114" s="4" t="s">
        <v>686</v>
      </c>
      <c r="P114" s="4"/>
      <c r="T114" t="s">
        <v>630</v>
      </c>
      <c r="U114" t="s">
        <v>632</v>
      </c>
    </row>
    <row r="115" spans="1:21" ht="15" hidden="1" customHeight="1" x14ac:dyDescent="0.25">
      <c r="A115" s="96">
        <v>2019</v>
      </c>
      <c r="B115" s="96" t="s">
        <v>68</v>
      </c>
      <c r="C115" s="100">
        <v>391</v>
      </c>
      <c r="D115" s="98"/>
      <c r="E115" s="216" t="s">
        <v>696</v>
      </c>
      <c r="F115" s="98"/>
      <c r="G115" s="99">
        <v>643952.86</v>
      </c>
      <c r="H115" s="133" t="s">
        <v>667</v>
      </c>
      <c r="I115" s="160">
        <f t="shared" si="11"/>
        <v>643952.86</v>
      </c>
      <c r="J115" s="212"/>
      <c r="K115" s="160">
        <v>0</v>
      </c>
      <c r="O115" s="4" t="s">
        <v>686</v>
      </c>
      <c r="P115" s="4"/>
      <c r="T115" t="s">
        <v>630</v>
      </c>
      <c r="U115" t="s">
        <v>632</v>
      </c>
    </row>
    <row r="116" spans="1:21" ht="15" hidden="1" customHeight="1" x14ac:dyDescent="0.25">
      <c r="A116" s="96">
        <v>2019</v>
      </c>
      <c r="B116" s="96" t="s">
        <v>68</v>
      </c>
      <c r="C116" s="100">
        <v>391</v>
      </c>
      <c r="D116" s="98"/>
      <c r="E116" s="216" t="s">
        <v>697</v>
      </c>
      <c r="F116" s="98"/>
      <c r="G116" s="99">
        <v>1422.48</v>
      </c>
      <c r="H116" s="133" t="s">
        <v>667</v>
      </c>
      <c r="I116" s="160">
        <f t="shared" si="11"/>
        <v>1422.48</v>
      </c>
      <c r="J116" s="212"/>
      <c r="K116" s="160">
        <v>0</v>
      </c>
      <c r="O116" s="4" t="s">
        <v>686</v>
      </c>
      <c r="P116" s="4"/>
      <c r="T116" t="s">
        <v>630</v>
      </c>
      <c r="U116" t="s">
        <v>632</v>
      </c>
    </row>
    <row r="117" spans="1:21" ht="15" hidden="1" customHeight="1" x14ac:dyDescent="0.25">
      <c r="A117" s="96">
        <v>2019</v>
      </c>
      <c r="B117" s="96" t="s">
        <v>68</v>
      </c>
      <c r="C117" s="100">
        <v>391</v>
      </c>
      <c r="D117" s="98"/>
      <c r="E117" s="216" t="s">
        <v>698</v>
      </c>
      <c r="F117" s="98"/>
      <c r="G117" s="99">
        <v>3065.67</v>
      </c>
      <c r="H117" s="133" t="s">
        <v>667</v>
      </c>
      <c r="I117" s="160">
        <f t="shared" si="11"/>
        <v>3065.67</v>
      </c>
      <c r="J117" s="212"/>
      <c r="K117" s="160">
        <v>0</v>
      </c>
      <c r="O117" s="4" t="s">
        <v>686</v>
      </c>
      <c r="P117" s="4"/>
      <c r="T117" t="s">
        <v>630</v>
      </c>
      <c r="U117" t="s">
        <v>632</v>
      </c>
    </row>
    <row r="118" spans="1:21" ht="15" hidden="1" customHeight="1" x14ac:dyDescent="0.25">
      <c r="A118" s="96">
        <v>2019</v>
      </c>
      <c r="B118" s="96" t="s">
        <v>68</v>
      </c>
      <c r="C118" s="100">
        <v>391</v>
      </c>
      <c r="D118" s="98"/>
      <c r="E118" s="216" t="s">
        <v>699</v>
      </c>
      <c r="F118" s="98"/>
      <c r="G118" s="99">
        <v>2327.88</v>
      </c>
      <c r="H118" s="133" t="s">
        <v>667</v>
      </c>
      <c r="I118" s="160">
        <f t="shared" si="11"/>
        <v>2327.88</v>
      </c>
      <c r="J118" s="212"/>
      <c r="K118" s="160">
        <v>0</v>
      </c>
      <c r="O118" s="4" t="s">
        <v>686</v>
      </c>
      <c r="P118" s="4"/>
      <c r="T118" t="s">
        <v>630</v>
      </c>
      <c r="U118" t="s">
        <v>632</v>
      </c>
    </row>
    <row r="119" spans="1:21" ht="15" hidden="1" customHeight="1" x14ac:dyDescent="0.25">
      <c r="A119" s="96">
        <v>2019</v>
      </c>
      <c r="B119" s="96" t="s">
        <v>68</v>
      </c>
      <c r="C119" s="100">
        <v>391</v>
      </c>
      <c r="D119" s="98"/>
      <c r="E119" s="216" t="s">
        <v>700</v>
      </c>
      <c r="F119" s="98"/>
      <c r="G119" s="99">
        <v>75853.100000000006</v>
      </c>
      <c r="H119" s="133" t="s">
        <v>667</v>
      </c>
      <c r="I119" s="160">
        <f t="shared" si="11"/>
        <v>75853.100000000006</v>
      </c>
      <c r="J119" s="212"/>
      <c r="K119" s="160">
        <v>0</v>
      </c>
      <c r="O119" s="4" t="s">
        <v>686</v>
      </c>
      <c r="P119" s="4"/>
      <c r="T119" t="s">
        <v>630</v>
      </c>
      <c r="U119" t="s">
        <v>632</v>
      </c>
    </row>
    <row r="120" spans="1:21" ht="15" hidden="1" customHeight="1" x14ac:dyDescent="0.25">
      <c r="A120" s="96">
        <v>2019</v>
      </c>
      <c r="B120" s="96" t="s">
        <v>68</v>
      </c>
      <c r="C120" s="100">
        <v>391</v>
      </c>
      <c r="D120" s="98"/>
      <c r="E120" s="216" t="s">
        <v>701</v>
      </c>
      <c r="F120" s="98"/>
      <c r="G120" s="99">
        <v>12929.72</v>
      </c>
      <c r="H120" s="133" t="s">
        <v>667</v>
      </c>
      <c r="I120" s="160">
        <f t="shared" si="11"/>
        <v>12929.72</v>
      </c>
      <c r="J120" s="212"/>
      <c r="K120" s="160">
        <v>0</v>
      </c>
      <c r="O120" s="4" t="s">
        <v>686</v>
      </c>
      <c r="P120" s="4"/>
      <c r="T120" t="s">
        <v>630</v>
      </c>
      <c r="U120" t="s">
        <v>632</v>
      </c>
    </row>
    <row r="121" spans="1:21" ht="15" hidden="1" customHeight="1" x14ac:dyDescent="0.25">
      <c r="A121" s="96">
        <v>2019</v>
      </c>
      <c r="B121" s="96" t="s">
        <v>68</v>
      </c>
      <c r="C121" s="100">
        <v>391</v>
      </c>
      <c r="D121" s="98"/>
      <c r="E121" s="216" t="s">
        <v>702</v>
      </c>
      <c r="F121" s="98"/>
      <c r="G121" s="99">
        <v>2694.16</v>
      </c>
      <c r="H121" s="133" t="s">
        <v>667</v>
      </c>
      <c r="I121" s="160">
        <f t="shared" si="11"/>
        <v>2694.16</v>
      </c>
      <c r="J121" s="212"/>
      <c r="K121" s="160">
        <v>0</v>
      </c>
      <c r="O121" s="4" t="s">
        <v>686</v>
      </c>
      <c r="P121" s="4"/>
      <c r="T121" t="s">
        <v>630</v>
      </c>
      <c r="U121" t="s">
        <v>632</v>
      </c>
    </row>
    <row r="122" spans="1:21" ht="15" hidden="1" customHeight="1" x14ac:dyDescent="0.25">
      <c r="A122" s="96">
        <v>2019</v>
      </c>
      <c r="B122" s="96" t="s">
        <v>68</v>
      </c>
      <c r="C122" s="100">
        <v>391</v>
      </c>
      <c r="D122" s="98"/>
      <c r="E122" s="216" t="s">
        <v>703</v>
      </c>
      <c r="F122" s="98"/>
      <c r="G122" s="99">
        <v>361.9</v>
      </c>
      <c r="H122" s="133" t="s">
        <v>667</v>
      </c>
      <c r="I122" s="160">
        <f t="shared" si="11"/>
        <v>361.9</v>
      </c>
      <c r="J122" s="212"/>
      <c r="K122" s="160">
        <v>0</v>
      </c>
      <c r="O122" s="4" t="s">
        <v>686</v>
      </c>
      <c r="P122" s="4"/>
      <c r="T122" t="s">
        <v>630</v>
      </c>
      <c r="U122" t="s">
        <v>632</v>
      </c>
    </row>
    <row r="123" spans="1:21" ht="15" hidden="1" customHeight="1" x14ac:dyDescent="0.25">
      <c r="A123" s="96">
        <v>2019</v>
      </c>
      <c r="B123" s="96" t="s">
        <v>68</v>
      </c>
      <c r="C123" s="100">
        <v>391</v>
      </c>
      <c r="D123" s="98"/>
      <c r="E123" s="216" t="s">
        <v>703</v>
      </c>
      <c r="F123" s="98"/>
      <c r="G123" s="99">
        <v>361.9</v>
      </c>
      <c r="H123" s="133" t="s">
        <v>667</v>
      </c>
      <c r="I123" s="160">
        <f t="shared" si="11"/>
        <v>361.9</v>
      </c>
      <c r="J123" s="212"/>
      <c r="K123" s="160">
        <v>0</v>
      </c>
      <c r="O123" s="4" t="s">
        <v>686</v>
      </c>
      <c r="P123" s="4"/>
      <c r="T123" t="s">
        <v>630</v>
      </c>
      <c r="U123" t="s">
        <v>632</v>
      </c>
    </row>
    <row r="124" spans="1:21" ht="15" hidden="1" customHeight="1" x14ac:dyDescent="0.25">
      <c r="A124" s="96">
        <v>2019</v>
      </c>
      <c r="B124" s="96" t="s">
        <v>68</v>
      </c>
      <c r="C124" s="100">
        <v>391</v>
      </c>
      <c r="D124" s="98"/>
      <c r="E124" s="216" t="s">
        <v>703</v>
      </c>
      <c r="F124" s="98"/>
      <c r="G124" s="99">
        <v>361.9</v>
      </c>
      <c r="H124" s="133" t="s">
        <v>667</v>
      </c>
      <c r="I124" s="160">
        <f t="shared" si="11"/>
        <v>361.9</v>
      </c>
      <c r="J124" s="212"/>
      <c r="K124" s="160">
        <v>0</v>
      </c>
      <c r="O124" s="4" t="s">
        <v>686</v>
      </c>
      <c r="P124" s="4"/>
      <c r="T124" t="s">
        <v>630</v>
      </c>
      <c r="U124" t="s">
        <v>632</v>
      </c>
    </row>
    <row r="125" spans="1:21" ht="15" hidden="1" customHeight="1" x14ac:dyDescent="0.25">
      <c r="A125" s="96">
        <v>2019</v>
      </c>
      <c r="B125" s="96" t="s">
        <v>68</v>
      </c>
      <c r="C125" s="100">
        <v>391</v>
      </c>
      <c r="D125" s="98"/>
      <c r="E125" s="216" t="s">
        <v>703</v>
      </c>
      <c r="F125" s="98"/>
      <c r="G125" s="99">
        <v>361.9</v>
      </c>
      <c r="H125" s="133" t="s">
        <v>667</v>
      </c>
      <c r="I125" s="160">
        <f t="shared" si="11"/>
        <v>361.9</v>
      </c>
      <c r="J125" s="212"/>
      <c r="K125" s="160">
        <v>0</v>
      </c>
      <c r="O125" s="4" t="s">
        <v>686</v>
      </c>
      <c r="P125" s="4"/>
      <c r="T125" t="s">
        <v>630</v>
      </c>
      <c r="U125" t="s">
        <v>632</v>
      </c>
    </row>
    <row r="126" spans="1:21" ht="15" hidden="1" customHeight="1" x14ac:dyDescent="0.25">
      <c r="A126" s="96">
        <v>2019</v>
      </c>
      <c r="B126" s="96" t="s">
        <v>68</v>
      </c>
      <c r="C126" s="100">
        <v>391</v>
      </c>
      <c r="D126" s="98"/>
      <c r="E126" s="216" t="s">
        <v>703</v>
      </c>
      <c r="F126" s="98"/>
      <c r="G126" s="99">
        <v>361.9</v>
      </c>
      <c r="H126" s="133" t="s">
        <v>667</v>
      </c>
      <c r="I126" s="160">
        <f t="shared" si="11"/>
        <v>361.9</v>
      </c>
      <c r="J126" s="212"/>
      <c r="K126" s="160">
        <v>0</v>
      </c>
      <c r="O126" s="4" t="s">
        <v>686</v>
      </c>
      <c r="P126" s="4"/>
      <c r="T126" t="s">
        <v>630</v>
      </c>
      <c r="U126" t="s">
        <v>632</v>
      </c>
    </row>
    <row r="127" spans="1:21" ht="15" hidden="1" customHeight="1" x14ac:dyDescent="0.25">
      <c r="A127" s="96">
        <v>2019</v>
      </c>
      <c r="B127" s="96" t="s">
        <v>68</v>
      </c>
      <c r="C127" s="100">
        <v>391</v>
      </c>
      <c r="D127" s="98"/>
      <c r="E127" s="216" t="s">
        <v>703</v>
      </c>
      <c r="F127" s="98"/>
      <c r="G127" s="99">
        <v>361.9</v>
      </c>
      <c r="H127" s="133" t="s">
        <v>667</v>
      </c>
      <c r="I127" s="160">
        <f t="shared" si="11"/>
        <v>361.9</v>
      </c>
      <c r="J127" s="212"/>
      <c r="K127" s="160">
        <v>0</v>
      </c>
      <c r="O127" s="4" t="s">
        <v>686</v>
      </c>
      <c r="P127" s="4"/>
      <c r="T127" t="s">
        <v>630</v>
      </c>
      <c r="U127" t="s">
        <v>632</v>
      </c>
    </row>
    <row r="128" spans="1:21" ht="15" hidden="1" customHeight="1" x14ac:dyDescent="0.25">
      <c r="A128" s="96">
        <v>2019</v>
      </c>
      <c r="B128" s="96" t="s">
        <v>68</v>
      </c>
      <c r="C128" s="100">
        <v>391</v>
      </c>
      <c r="D128" s="98"/>
      <c r="E128" s="216" t="s">
        <v>704</v>
      </c>
      <c r="F128" s="98"/>
      <c r="G128" s="99">
        <v>800.5</v>
      </c>
      <c r="H128" s="133" t="s">
        <v>667</v>
      </c>
      <c r="I128" s="160">
        <f t="shared" si="11"/>
        <v>800.5</v>
      </c>
      <c r="J128" s="212"/>
      <c r="K128" s="160">
        <v>0</v>
      </c>
      <c r="O128" s="4" t="s">
        <v>686</v>
      </c>
      <c r="P128" s="4"/>
      <c r="T128" t="s">
        <v>630</v>
      </c>
      <c r="U128" t="s">
        <v>632</v>
      </c>
    </row>
    <row r="129" spans="1:21" ht="15" hidden="1" customHeight="1" x14ac:dyDescent="0.25">
      <c r="A129" s="96">
        <v>2019</v>
      </c>
      <c r="B129" s="96" t="s">
        <v>68</v>
      </c>
      <c r="C129" s="100">
        <v>391</v>
      </c>
      <c r="D129" s="98"/>
      <c r="E129" s="216" t="s">
        <v>704</v>
      </c>
      <c r="F129" s="98"/>
      <c r="G129" s="99">
        <v>3369.98</v>
      </c>
      <c r="H129" s="133" t="s">
        <v>667</v>
      </c>
      <c r="I129" s="160">
        <f t="shared" si="11"/>
        <v>3369.98</v>
      </c>
      <c r="J129" s="212"/>
      <c r="K129" s="160">
        <v>0</v>
      </c>
      <c r="O129" s="4" t="s">
        <v>686</v>
      </c>
      <c r="P129" s="4"/>
      <c r="T129" t="s">
        <v>630</v>
      </c>
      <c r="U129" t="s">
        <v>632</v>
      </c>
    </row>
    <row r="130" spans="1:21" ht="15" hidden="1" customHeight="1" x14ac:dyDescent="0.25">
      <c r="A130" s="96">
        <v>2019</v>
      </c>
      <c r="B130" s="96" t="s">
        <v>68</v>
      </c>
      <c r="C130" s="100">
        <v>391</v>
      </c>
      <c r="D130" s="98"/>
      <c r="E130" s="216" t="s">
        <v>705</v>
      </c>
      <c r="F130" s="98"/>
      <c r="G130" s="101">
        <v>4130.45</v>
      </c>
      <c r="H130" s="133" t="s">
        <v>667</v>
      </c>
      <c r="I130" s="160">
        <f t="shared" si="11"/>
        <v>4130.45</v>
      </c>
      <c r="J130" s="212"/>
      <c r="K130" s="160">
        <v>0</v>
      </c>
      <c r="O130" s="4" t="s">
        <v>686</v>
      </c>
      <c r="P130" s="4"/>
      <c r="T130" t="s">
        <v>630</v>
      </c>
      <c r="U130" t="s">
        <v>632</v>
      </c>
    </row>
    <row r="131" spans="1:21" ht="15" hidden="1" customHeight="1" x14ac:dyDescent="0.25">
      <c r="A131" s="96">
        <v>2019</v>
      </c>
      <c r="B131" s="96" t="s">
        <v>68</v>
      </c>
      <c r="C131" s="100">
        <v>391</v>
      </c>
      <c r="D131" s="98"/>
      <c r="E131" s="216" t="s">
        <v>705</v>
      </c>
      <c r="F131" s="98"/>
      <c r="G131" s="99">
        <v>9117.2099999999991</v>
      </c>
      <c r="H131" s="133" t="s">
        <v>667</v>
      </c>
      <c r="I131" s="160">
        <f t="shared" si="11"/>
        <v>9117.2099999999991</v>
      </c>
      <c r="J131" s="212"/>
      <c r="K131" s="160">
        <v>0</v>
      </c>
      <c r="O131" s="4" t="s">
        <v>686</v>
      </c>
      <c r="P131" s="4"/>
      <c r="T131" t="s">
        <v>630</v>
      </c>
      <c r="U131" t="s">
        <v>632</v>
      </c>
    </row>
    <row r="132" spans="1:21" ht="15" hidden="1" customHeight="1" x14ac:dyDescent="0.25">
      <c r="A132" s="96">
        <v>2019</v>
      </c>
      <c r="B132" s="96" t="s">
        <v>68</v>
      </c>
      <c r="C132" s="100">
        <v>391</v>
      </c>
      <c r="D132" s="98"/>
      <c r="E132" s="216" t="s">
        <v>703</v>
      </c>
      <c r="F132" s="98"/>
      <c r="G132" s="99">
        <v>696.87</v>
      </c>
      <c r="H132" s="133" t="s">
        <v>667</v>
      </c>
      <c r="I132" s="160">
        <f t="shared" si="11"/>
        <v>696.87</v>
      </c>
      <c r="J132" s="212"/>
      <c r="K132" s="160">
        <v>0</v>
      </c>
      <c r="O132" s="4" t="s">
        <v>686</v>
      </c>
      <c r="P132" s="4"/>
      <c r="T132" t="s">
        <v>630</v>
      </c>
      <c r="U132" t="s">
        <v>632</v>
      </c>
    </row>
    <row r="133" spans="1:21" ht="15" hidden="1" customHeight="1" x14ac:dyDescent="0.25">
      <c r="A133" s="96">
        <v>2019</v>
      </c>
      <c r="B133" s="96" t="s">
        <v>68</v>
      </c>
      <c r="C133" s="100">
        <v>391</v>
      </c>
      <c r="D133" s="98"/>
      <c r="E133" s="216" t="s">
        <v>703</v>
      </c>
      <c r="F133" s="98"/>
      <c r="G133" s="99">
        <v>361.9</v>
      </c>
      <c r="H133" s="133" t="s">
        <v>667</v>
      </c>
      <c r="I133" s="160">
        <f t="shared" si="11"/>
        <v>361.9</v>
      </c>
      <c r="J133" s="212"/>
      <c r="K133" s="160">
        <v>0</v>
      </c>
      <c r="O133" s="4" t="s">
        <v>686</v>
      </c>
      <c r="P133" s="4"/>
      <c r="T133" t="s">
        <v>630</v>
      </c>
      <c r="U133" t="s">
        <v>632</v>
      </c>
    </row>
    <row r="134" spans="1:21" ht="15" hidden="1" customHeight="1" x14ac:dyDescent="0.25">
      <c r="A134" s="96">
        <v>2019</v>
      </c>
      <c r="B134" s="96" t="s">
        <v>68</v>
      </c>
      <c r="C134" s="100">
        <v>391</v>
      </c>
      <c r="D134" s="98"/>
      <c r="E134" s="216" t="s">
        <v>680</v>
      </c>
      <c r="F134" s="98"/>
      <c r="G134" s="99">
        <v>438.4</v>
      </c>
      <c r="H134" s="133" t="s">
        <v>667</v>
      </c>
      <c r="I134" s="160">
        <f t="shared" ref="I134:I178" si="15">G134</f>
        <v>438.4</v>
      </c>
      <c r="J134" s="212"/>
      <c r="K134" s="160">
        <v>0</v>
      </c>
      <c r="O134" s="4" t="s">
        <v>686</v>
      </c>
      <c r="P134" s="4"/>
      <c r="T134" t="s">
        <v>630</v>
      </c>
      <c r="U134" t="s">
        <v>632</v>
      </c>
    </row>
    <row r="135" spans="1:21" ht="15" hidden="1" customHeight="1" x14ac:dyDescent="0.25">
      <c r="A135" s="96">
        <v>2019</v>
      </c>
      <c r="B135" s="96" t="s">
        <v>68</v>
      </c>
      <c r="C135" s="100">
        <v>391</v>
      </c>
      <c r="D135" s="98"/>
      <c r="E135" s="216" t="s">
        <v>680</v>
      </c>
      <c r="F135" s="98"/>
      <c r="G135" s="99">
        <v>146909.65</v>
      </c>
      <c r="H135" s="133" t="s">
        <v>667</v>
      </c>
      <c r="I135" s="160">
        <f t="shared" si="15"/>
        <v>146909.65</v>
      </c>
      <c r="J135" s="212"/>
      <c r="K135" s="160">
        <v>0</v>
      </c>
      <c r="O135" s="4" t="s">
        <v>686</v>
      </c>
      <c r="P135" s="4"/>
      <c r="T135" t="s">
        <v>630</v>
      </c>
      <c r="U135" t="s">
        <v>632</v>
      </c>
    </row>
    <row r="136" spans="1:21" ht="15" hidden="1" customHeight="1" x14ac:dyDescent="0.25">
      <c r="A136" s="96">
        <v>2019</v>
      </c>
      <c r="B136" s="96" t="s">
        <v>68</v>
      </c>
      <c r="C136" s="100">
        <v>391</v>
      </c>
      <c r="D136" s="98"/>
      <c r="E136" s="216" t="s">
        <v>680</v>
      </c>
      <c r="F136" s="98"/>
      <c r="G136" s="99">
        <v>31419.01</v>
      </c>
      <c r="H136" s="133" t="s">
        <v>667</v>
      </c>
      <c r="I136" s="160">
        <f t="shared" si="15"/>
        <v>31419.01</v>
      </c>
      <c r="J136" s="212"/>
      <c r="K136" s="160">
        <v>0</v>
      </c>
      <c r="O136" s="4" t="s">
        <v>686</v>
      </c>
      <c r="P136" s="4"/>
      <c r="T136" t="s">
        <v>630</v>
      </c>
      <c r="U136" t="s">
        <v>632</v>
      </c>
    </row>
    <row r="137" spans="1:21" ht="15" hidden="1" customHeight="1" x14ac:dyDescent="0.25">
      <c r="A137" s="96">
        <v>2019</v>
      </c>
      <c r="B137" s="96" t="s">
        <v>68</v>
      </c>
      <c r="C137" s="100">
        <v>391</v>
      </c>
      <c r="D137" s="98"/>
      <c r="E137" s="216" t="s">
        <v>706</v>
      </c>
      <c r="F137" s="98"/>
      <c r="G137" s="99">
        <v>2978.27</v>
      </c>
      <c r="H137" s="133" t="s">
        <v>667</v>
      </c>
      <c r="I137" s="160">
        <f t="shared" si="15"/>
        <v>2978.27</v>
      </c>
      <c r="J137" s="212"/>
      <c r="K137" s="160">
        <v>0</v>
      </c>
      <c r="O137" s="4" t="s">
        <v>686</v>
      </c>
      <c r="P137" s="4"/>
      <c r="T137" t="s">
        <v>630</v>
      </c>
      <c r="U137" t="s">
        <v>632</v>
      </c>
    </row>
    <row r="138" spans="1:21" ht="15" hidden="1" customHeight="1" x14ac:dyDescent="0.25">
      <c r="A138" s="96">
        <v>2019</v>
      </c>
      <c r="B138" s="96" t="s">
        <v>68</v>
      </c>
      <c r="C138" s="100">
        <v>391</v>
      </c>
      <c r="D138" s="98"/>
      <c r="E138" s="216" t="s">
        <v>707</v>
      </c>
      <c r="F138" s="98"/>
      <c r="G138" s="99">
        <v>97094.32</v>
      </c>
      <c r="H138" s="133" t="s">
        <v>667</v>
      </c>
      <c r="I138" s="160">
        <f t="shared" si="15"/>
        <v>97094.32</v>
      </c>
      <c r="J138" s="212"/>
      <c r="K138" s="160">
        <v>0</v>
      </c>
      <c r="O138" s="4" t="s">
        <v>686</v>
      </c>
      <c r="P138" s="4"/>
      <c r="T138" t="s">
        <v>630</v>
      </c>
      <c r="U138" t="s">
        <v>632</v>
      </c>
    </row>
    <row r="139" spans="1:21" ht="15" hidden="1" customHeight="1" x14ac:dyDescent="0.25">
      <c r="A139" s="96">
        <v>2019</v>
      </c>
      <c r="B139" s="96" t="s">
        <v>68</v>
      </c>
      <c r="C139" s="100">
        <v>391</v>
      </c>
      <c r="D139" s="98"/>
      <c r="E139" s="216" t="s">
        <v>708</v>
      </c>
      <c r="F139" s="98"/>
      <c r="G139" s="99">
        <v>2074.34</v>
      </c>
      <c r="H139" s="133" t="s">
        <v>667</v>
      </c>
      <c r="I139" s="160">
        <f t="shared" si="15"/>
        <v>2074.34</v>
      </c>
      <c r="J139" s="212"/>
      <c r="K139" s="160">
        <v>0</v>
      </c>
      <c r="O139" s="4" t="s">
        <v>686</v>
      </c>
      <c r="P139" s="4"/>
      <c r="T139" t="s">
        <v>630</v>
      </c>
      <c r="U139" t="s">
        <v>632</v>
      </c>
    </row>
    <row r="140" spans="1:21" ht="15" hidden="1" customHeight="1" x14ac:dyDescent="0.25">
      <c r="A140" s="96">
        <v>2019</v>
      </c>
      <c r="B140" s="96" t="s">
        <v>68</v>
      </c>
      <c r="C140" s="100">
        <v>391</v>
      </c>
      <c r="D140" s="98"/>
      <c r="E140" s="216" t="s">
        <v>685</v>
      </c>
      <c r="F140" s="98"/>
      <c r="G140" s="99">
        <v>2978.27</v>
      </c>
      <c r="H140" s="133" t="s">
        <v>667</v>
      </c>
      <c r="I140" s="160">
        <f t="shared" si="15"/>
        <v>2978.27</v>
      </c>
      <c r="J140" s="212"/>
      <c r="K140" s="160">
        <v>0</v>
      </c>
      <c r="O140" s="4" t="s">
        <v>686</v>
      </c>
      <c r="P140" s="4"/>
      <c r="T140" t="s">
        <v>630</v>
      </c>
      <c r="U140" t="s">
        <v>632</v>
      </c>
    </row>
    <row r="141" spans="1:21" ht="15" hidden="1" customHeight="1" x14ac:dyDescent="0.25">
      <c r="A141" s="96">
        <v>2019</v>
      </c>
      <c r="B141" s="96" t="s">
        <v>68</v>
      </c>
      <c r="C141" s="100">
        <v>391</v>
      </c>
      <c r="D141" s="98"/>
      <c r="E141" s="216" t="s">
        <v>709</v>
      </c>
      <c r="F141" s="98"/>
      <c r="G141" s="99">
        <v>2746.95</v>
      </c>
      <c r="H141" s="133" t="s">
        <v>667</v>
      </c>
      <c r="I141" s="160">
        <f t="shared" si="15"/>
        <v>2746.95</v>
      </c>
      <c r="J141" s="212"/>
      <c r="K141" s="160">
        <v>0</v>
      </c>
      <c r="O141" s="4" t="s">
        <v>686</v>
      </c>
      <c r="P141" s="4"/>
      <c r="T141" t="s">
        <v>630</v>
      </c>
      <c r="U141" t="s">
        <v>632</v>
      </c>
    </row>
    <row r="142" spans="1:21" ht="15" hidden="1" customHeight="1" x14ac:dyDescent="0.25">
      <c r="A142" s="96">
        <v>2019</v>
      </c>
      <c r="B142" s="96" t="s">
        <v>68</v>
      </c>
      <c r="C142" s="100">
        <v>391</v>
      </c>
      <c r="D142" s="98"/>
      <c r="E142" s="216" t="s">
        <v>710</v>
      </c>
      <c r="F142" s="98"/>
      <c r="G142" s="99">
        <v>40223.14</v>
      </c>
      <c r="H142" s="133" t="s">
        <v>667</v>
      </c>
      <c r="I142" s="160">
        <f t="shared" si="15"/>
        <v>40223.14</v>
      </c>
      <c r="J142" s="212"/>
      <c r="K142" s="160">
        <v>0</v>
      </c>
      <c r="O142" s="4" t="s">
        <v>686</v>
      </c>
      <c r="P142" s="4"/>
      <c r="T142" t="s">
        <v>630</v>
      </c>
      <c r="U142" t="s">
        <v>632</v>
      </c>
    </row>
    <row r="143" spans="1:21" ht="15" hidden="1" customHeight="1" x14ac:dyDescent="0.25">
      <c r="A143" s="96">
        <v>2019</v>
      </c>
      <c r="B143" s="96" t="s">
        <v>68</v>
      </c>
      <c r="C143" s="100">
        <v>391</v>
      </c>
      <c r="D143" s="98"/>
      <c r="E143" s="216" t="s">
        <v>711</v>
      </c>
      <c r="F143" s="98"/>
      <c r="G143" s="99">
        <v>5641.64</v>
      </c>
      <c r="H143" s="133" t="s">
        <v>667</v>
      </c>
      <c r="I143" s="160">
        <f t="shared" si="15"/>
        <v>5641.64</v>
      </c>
      <c r="J143" s="212"/>
      <c r="K143" s="160">
        <v>0</v>
      </c>
      <c r="O143" s="4" t="s">
        <v>686</v>
      </c>
      <c r="P143" s="4"/>
      <c r="T143" t="s">
        <v>630</v>
      </c>
      <c r="U143" t="s">
        <v>632</v>
      </c>
    </row>
    <row r="144" spans="1:21" ht="15" hidden="1" customHeight="1" x14ac:dyDescent="0.25">
      <c r="A144" s="96">
        <v>2019</v>
      </c>
      <c r="B144" s="96" t="s">
        <v>68</v>
      </c>
      <c r="C144" s="100">
        <v>391</v>
      </c>
      <c r="D144" s="98"/>
      <c r="E144" s="216" t="s">
        <v>711</v>
      </c>
      <c r="F144" s="98"/>
      <c r="G144" s="99">
        <v>6403.57</v>
      </c>
      <c r="H144" s="133" t="s">
        <v>667</v>
      </c>
      <c r="I144" s="160">
        <f t="shared" si="15"/>
        <v>6403.57</v>
      </c>
      <c r="J144" s="212"/>
      <c r="K144" s="160">
        <v>0</v>
      </c>
      <c r="O144" s="4" t="s">
        <v>686</v>
      </c>
      <c r="P144" s="4"/>
      <c r="T144" t="s">
        <v>630</v>
      </c>
      <c r="U144" t="s">
        <v>632</v>
      </c>
    </row>
    <row r="145" spans="1:21" ht="15" hidden="1" customHeight="1" x14ac:dyDescent="0.25">
      <c r="A145" s="96">
        <v>2019</v>
      </c>
      <c r="B145" s="96" t="s">
        <v>68</v>
      </c>
      <c r="C145" s="100">
        <v>391</v>
      </c>
      <c r="D145" s="98"/>
      <c r="E145" s="216" t="s">
        <v>712</v>
      </c>
      <c r="F145" s="98"/>
      <c r="G145" s="99">
        <v>3065.67</v>
      </c>
      <c r="H145" s="133" t="s">
        <v>667</v>
      </c>
      <c r="I145" s="160">
        <f t="shared" si="15"/>
        <v>3065.67</v>
      </c>
      <c r="J145" s="212"/>
      <c r="K145" s="160">
        <v>0</v>
      </c>
      <c r="O145" s="4" t="s">
        <v>686</v>
      </c>
      <c r="P145" s="4"/>
      <c r="T145" t="s">
        <v>630</v>
      </c>
      <c r="U145" t="s">
        <v>632</v>
      </c>
    </row>
    <row r="146" spans="1:21" ht="15" hidden="1" customHeight="1" x14ac:dyDescent="0.25">
      <c r="A146" s="96">
        <v>2019</v>
      </c>
      <c r="B146" s="96" t="s">
        <v>68</v>
      </c>
      <c r="C146" s="100">
        <v>391</v>
      </c>
      <c r="D146" s="98"/>
      <c r="E146" s="216" t="s">
        <v>713</v>
      </c>
      <c r="F146" s="98"/>
      <c r="G146" s="99">
        <v>3065.67</v>
      </c>
      <c r="H146" s="133" t="s">
        <v>667</v>
      </c>
      <c r="I146" s="160">
        <f t="shared" si="15"/>
        <v>3065.67</v>
      </c>
      <c r="J146" s="212"/>
      <c r="K146" s="160">
        <v>0</v>
      </c>
      <c r="O146" s="4" t="s">
        <v>686</v>
      </c>
      <c r="P146" s="4"/>
      <c r="T146" t="s">
        <v>630</v>
      </c>
      <c r="U146" t="s">
        <v>632</v>
      </c>
    </row>
    <row r="147" spans="1:21" ht="15" hidden="1" customHeight="1" x14ac:dyDescent="0.25">
      <c r="A147" s="96">
        <v>2019</v>
      </c>
      <c r="B147" s="96" t="s">
        <v>68</v>
      </c>
      <c r="C147" s="100">
        <v>391</v>
      </c>
      <c r="D147" s="98"/>
      <c r="E147" s="216" t="s">
        <v>714</v>
      </c>
      <c r="F147" s="98"/>
      <c r="G147" s="99">
        <v>2978.27</v>
      </c>
      <c r="H147" s="133" t="s">
        <v>667</v>
      </c>
      <c r="I147" s="160">
        <f t="shared" si="15"/>
        <v>2978.27</v>
      </c>
      <c r="J147" s="212"/>
      <c r="K147" s="160">
        <v>0</v>
      </c>
      <c r="O147" s="4" t="s">
        <v>686</v>
      </c>
      <c r="P147" s="4"/>
      <c r="T147" t="s">
        <v>630</v>
      </c>
      <c r="U147" t="s">
        <v>632</v>
      </c>
    </row>
    <row r="148" spans="1:21" ht="15" hidden="1" customHeight="1" x14ac:dyDescent="0.25">
      <c r="A148" s="96">
        <v>2019</v>
      </c>
      <c r="B148" s="96" t="s">
        <v>68</v>
      </c>
      <c r="C148" s="100">
        <v>391</v>
      </c>
      <c r="D148" s="98"/>
      <c r="E148" s="216" t="s">
        <v>714</v>
      </c>
      <c r="F148" s="98"/>
      <c r="G148" s="99">
        <v>361.9</v>
      </c>
      <c r="H148" s="133" t="s">
        <v>667</v>
      </c>
      <c r="I148" s="160">
        <f t="shared" si="15"/>
        <v>361.9</v>
      </c>
      <c r="J148" s="212"/>
      <c r="K148" s="160">
        <v>0</v>
      </c>
      <c r="O148" s="4" t="s">
        <v>686</v>
      </c>
      <c r="P148" s="4"/>
      <c r="T148" t="s">
        <v>630</v>
      </c>
      <c r="U148" t="s">
        <v>632</v>
      </c>
    </row>
    <row r="149" spans="1:21" ht="15" hidden="1" customHeight="1" x14ac:dyDescent="0.25">
      <c r="A149" s="96">
        <v>2019</v>
      </c>
      <c r="B149" s="96" t="s">
        <v>68</v>
      </c>
      <c r="C149" s="100">
        <v>391</v>
      </c>
      <c r="D149" s="98"/>
      <c r="E149" s="216" t="s">
        <v>715</v>
      </c>
      <c r="F149" s="98"/>
      <c r="G149" s="99">
        <v>4087.46</v>
      </c>
      <c r="H149" s="133" t="s">
        <v>667</v>
      </c>
      <c r="I149" s="160">
        <f t="shared" si="15"/>
        <v>4087.46</v>
      </c>
      <c r="J149" s="212"/>
      <c r="K149" s="160">
        <v>0</v>
      </c>
      <c r="O149" s="4" t="s">
        <v>686</v>
      </c>
      <c r="P149" s="4"/>
      <c r="T149" t="s">
        <v>630</v>
      </c>
      <c r="U149" t="s">
        <v>632</v>
      </c>
    </row>
    <row r="150" spans="1:21" ht="15" hidden="1" customHeight="1" x14ac:dyDescent="0.25">
      <c r="A150" s="96">
        <v>2019</v>
      </c>
      <c r="B150" s="96" t="s">
        <v>68</v>
      </c>
      <c r="C150" s="100">
        <v>391</v>
      </c>
      <c r="D150" s="98"/>
      <c r="E150" s="216" t="s">
        <v>716</v>
      </c>
      <c r="F150" s="98"/>
      <c r="G150" s="99">
        <v>3474.57</v>
      </c>
      <c r="H150" s="133" t="s">
        <v>667</v>
      </c>
      <c r="I150" s="160">
        <f t="shared" si="15"/>
        <v>3474.57</v>
      </c>
      <c r="J150" s="212"/>
      <c r="K150" s="160">
        <v>0</v>
      </c>
      <c r="O150" s="4" t="s">
        <v>686</v>
      </c>
      <c r="P150" s="4"/>
      <c r="T150" t="s">
        <v>630</v>
      </c>
      <c r="U150" t="s">
        <v>632</v>
      </c>
    </row>
    <row r="151" spans="1:21" ht="15" hidden="1" customHeight="1" x14ac:dyDescent="0.25">
      <c r="A151" s="96">
        <v>2019</v>
      </c>
      <c r="B151" s="96" t="s">
        <v>68</v>
      </c>
      <c r="C151" s="100">
        <v>391</v>
      </c>
      <c r="D151" s="98"/>
      <c r="E151" s="216" t="s">
        <v>717</v>
      </c>
      <c r="F151" s="98"/>
      <c r="G151" s="99">
        <v>361.9</v>
      </c>
      <c r="H151" s="133" t="s">
        <v>667</v>
      </c>
      <c r="I151" s="160">
        <f t="shared" si="15"/>
        <v>361.9</v>
      </c>
      <c r="J151" s="212"/>
      <c r="K151" s="160">
        <v>0</v>
      </c>
      <c r="O151" s="4" t="s">
        <v>686</v>
      </c>
      <c r="P151" s="4"/>
      <c r="T151" t="s">
        <v>630</v>
      </c>
      <c r="U151" t="s">
        <v>632</v>
      </c>
    </row>
    <row r="152" spans="1:21" ht="15" hidden="1" customHeight="1" x14ac:dyDescent="0.25">
      <c r="A152" s="96">
        <v>2019</v>
      </c>
      <c r="B152" s="96" t="s">
        <v>68</v>
      </c>
      <c r="C152" s="100">
        <v>391</v>
      </c>
      <c r="D152" s="98"/>
      <c r="E152" s="216" t="s">
        <v>718</v>
      </c>
      <c r="F152" s="98"/>
      <c r="G152" s="99">
        <v>8070.02</v>
      </c>
      <c r="H152" s="133" t="s">
        <v>667</v>
      </c>
      <c r="I152" s="160">
        <f t="shared" si="15"/>
        <v>8070.02</v>
      </c>
      <c r="J152" s="212"/>
      <c r="K152" s="160">
        <v>0</v>
      </c>
      <c r="O152" s="4" t="s">
        <v>686</v>
      </c>
      <c r="P152" s="4"/>
      <c r="T152" t="s">
        <v>630</v>
      </c>
      <c r="U152" t="s">
        <v>632</v>
      </c>
    </row>
    <row r="153" spans="1:21" ht="15" hidden="1" customHeight="1" x14ac:dyDescent="0.25">
      <c r="A153" s="96">
        <v>2019</v>
      </c>
      <c r="B153" s="96" t="s">
        <v>68</v>
      </c>
      <c r="C153" s="100">
        <v>391</v>
      </c>
      <c r="D153" s="98"/>
      <c r="E153" s="216" t="s">
        <v>718</v>
      </c>
      <c r="F153" s="98"/>
      <c r="G153" s="99">
        <v>546.67999999999995</v>
      </c>
      <c r="H153" s="133" t="s">
        <v>667</v>
      </c>
      <c r="I153" s="160">
        <f t="shared" si="15"/>
        <v>546.67999999999995</v>
      </c>
      <c r="J153" s="212"/>
      <c r="K153" s="160">
        <v>0</v>
      </c>
      <c r="O153" s="4" t="s">
        <v>686</v>
      </c>
      <c r="P153" s="4"/>
      <c r="T153" t="s">
        <v>630</v>
      </c>
      <c r="U153" t="s">
        <v>632</v>
      </c>
    </row>
    <row r="154" spans="1:21" ht="15" hidden="1" customHeight="1" x14ac:dyDescent="0.25">
      <c r="A154" s="96">
        <v>2019</v>
      </c>
      <c r="B154" s="96" t="s">
        <v>68</v>
      </c>
      <c r="C154" s="100">
        <v>391</v>
      </c>
      <c r="D154" s="98"/>
      <c r="E154" s="216" t="s">
        <v>673</v>
      </c>
      <c r="F154" s="98"/>
      <c r="G154" s="99">
        <v>3065.67</v>
      </c>
      <c r="H154" s="133" t="s">
        <v>667</v>
      </c>
      <c r="I154" s="160">
        <f t="shared" si="15"/>
        <v>3065.67</v>
      </c>
      <c r="J154" s="212"/>
      <c r="K154" s="160">
        <v>0</v>
      </c>
      <c r="O154" s="4" t="s">
        <v>686</v>
      </c>
      <c r="P154" s="4"/>
      <c r="T154" t="s">
        <v>630</v>
      </c>
      <c r="U154" t="s">
        <v>632</v>
      </c>
    </row>
    <row r="155" spans="1:21" ht="15" hidden="1" customHeight="1" x14ac:dyDescent="0.25">
      <c r="A155" s="96">
        <v>2019</v>
      </c>
      <c r="B155" s="96" t="s">
        <v>68</v>
      </c>
      <c r="C155" s="100">
        <v>391</v>
      </c>
      <c r="D155" s="98"/>
      <c r="E155" s="216" t="s">
        <v>719</v>
      </c>
      <c r="F155" s="98"/>
      <c r="G155" s="99">
        <v>3058.32</v>
      </c>
      <c r="H155" s="133" t="s">
        <v>667</v>
      </c>
      <c r="I155" s="160">
        <f t="shared" si="15"/>
        <v>3058.32</v>
      </c>
      <c r="J155" s="212"/>
      <c r="K155" s="160">
        <v>0</v>
      </c>
      <c r="O155" s="4" t="s">
        <v>686</v>
      </c>
      <c r="P155" s="4"/>
      <c r="T155" t="s">
        <v>630</v>
      </c>
      <c r="U155" t="s">
        <v>632</v>
      </c>
    </row>
    <row r="156" spans="1:21" ht="15" hidden="1" customHeight="1" x14ac:dyDescent="0.25">
      <c r="A156" s="96">
        <v>2019</v>
      </c>
      <c r="B156" s="96" t="s">
        <v>68</v>
      </c>
      <c r="C156" s="100">
        <v>391</v>
      </c>
      <c r="D156" s="98"/>
      <c r="E156" s="216" t="s">
        <v>720</v>
      </c>
      <c r="F156" s="98"/>
      <c r="G156" s="99">
        <v>4477.28</v>
      </c>
      <c r="H156" s="133" t="s">
        <v>667</v>
      </c>
      <c r="I156" s="160">
        <f t="shared" si="15"/>
        <v>4477.28</v>
      </c>
      <c r="J156" s="212"/>
      <c r="K156" s="160">
        <v>0</v>
      </c>
      <c r="O156" s="4" t="s">
        <v>686</v>
      </c>
      <c r="P156" s="4"/>
      <c r="T156" t="s">
        <v>630</v>
      </c>
      <c r="U156" t="s">
        <v>632</v>
      </c>
    </row>
    <row r="157" spans="1:21" ht="15" hidden="1" customHeight="1" x14ac:dyDescent="0.25">
      <c r="A157" s="96">
        <v>2019</v>
      </c>
      <c r="B157" s="96" t="s">
        <v>68</v>
      </c>
      <c r="C157" s="100">
        <v>391</v>
      </c>
      <c r="D157" s="98"/>
      <c r="E157" s="216" t="s">
        <v>721</v>
      </c>
      <c r="F157" s="98"/>
      <c r="G157" s="99">
        <v>361.9</v>
      </c>
      <c r="H157" s="133" t="s">
        <v>667</v>
      </c>
      <c r="I157" s="160">
        <f t="shared" si="15"/>
        <v>361.9</v>
      </c>
      <c r="J157" s="212"/>
      <c r="K157" s="160">
        <v>0</v>
      </c>
      <c r="O157" s="4" t="s">
        <v>686</v>
      </c>
      <c r="P157" s="4"/>
      <c r="T157" t="s">
        <v>630</v>
      </c>
      <c r="U157" t="s">
        <v>632</v>
      </c>
    </row>
    <row r="158" spans="1:21" ht="15" hidden="1" customHeight="1" x14ac:dyDescent="0.25">
      <c r="A158" s="96">
        <v>2019</v>
      </c>
      <c r="B158" s="96" t="s">
        <v>68</v>
      </c>
      <c r="C158" s="100">
        <v>391</v>
      </c>
      <c r="D158" s="98"/>
      <c r="E158" s="216" t="s">
        <v>722</v>
      </c>
      <c r="F158" s="98"/>
      <c r="G158" s="99">
        <v>310.38</v>
      </c>
      <c r="H158" s="133" t="s">
        <v>667</v>
      </c>
      <c r="I158" s="160">
        <f t="shared" si="15"/>
        <v>310.38</v>
      </c>
      <c r="J158" s="212"/>
      <c r="K158" s="160">
        <v>0</v>
      </c>
      <c r="O158" s="4" t="s">
        <v>686</v>
      </c>
      <c r="P158" s="4"/>
      <c r="T158" t="s">
        <v>630</v>
      </c>
      <c r="U158" t="s">
        <v>632</v>
      </c>
    </row>
    <row r="159" spans="1:21" ht="15" hidden="1" customHeight="1" x14ac:dyDescent="0.25">
      <c r="A159" s="96">
        <v>2019</v>
      </c>
      <c r="B159" s="96" t="s">
        <v>68</v>
      </c>
      <c r="C159" s="100">
        <v>391</v>
      </c>
      <c r="D159" s="98"/>
      <c r="E159" s="216" t="s">
        <v>723</v>
      </c>
      <c r="F159" s="98"/>
      <c r="G159" s="99">
        <v>5122.8599999999997</v>
      </c>
      <c r="H159" s="133" t="s">
        <v>667</v>
      </c>
      <c r="I159" s="160">
        <f t="shared" si="15"/>
        <v>5122.8599999999997</v>
      </c>
      <c r="J159" s="212"/>
      <c r="K159" s="160">
        <v>0</v>
      </c>
      <c r="O159" s="4" t="s">
        <v>686</v>
      </c>
      <c r="P159" s="4"/>
      <c r="T159" t="s">
        <v>630</v>
      </c>
      <c r="U159" t="s">
        <v>632</v>
      </c>
    </row>
    <row r="160" spans="1:21" ht="15.75" hidden="1" customHeight="1" x14ac:dyDescent="0.25">
      <c r="A160" s="96">
        <v>2019</v>
      </c>
      <c r="B160" s="96" t="s">
        <v>72</v>
      </c>
      <c r="C160" s="100">
        <v>394</v>
      </c>
      <c r="D160" s="98"/>
      <c r="E160" s="216" t="s">
        <v>724</v>
      </c>
      <c r="F160" s="98"/>
      <c r="G160" s="99">
        <v>9.49</v>
      </c>
      <c r="H160" s="133" t="s">
        <v>667</v>
      </c>
      <c r="I160" s="160">
        <f t="shared" si="15"/>
        <v>9.49</v>
      </c>
      <c r="J160" s="212"/>
      <c r="K160" s="160">
        <v>0</v>
      </c>
      <c r="O160" s="4"/>
      <c r="P160" s="4"/>
      <c r="T160" s="4" t="s">
        <v>630</v>
      </c>
    </row>
    <row r="161" spans="1:23" ht="15.75" hidden="1" customHeight="1" x14ac:dyDescent="0.25">
      <c r="A161" s="194">
        <v>2019</v>
      </c>
      <c r="B161" s="194" t="s">
        <v>74</v>
      </c>
      <c r="C161" s="214">
        <v>276</v>
      </c>
      <c r="D161" s="98"/>
      <c r="E161" s="211" t="s">
        <v>685</v>
      </c>
      <c r="F161" s="98"/>
      <c r="G161" s="198">
        <v>3.49</v>
      </c>
      <c r="H161" s="199" t="s">
        <v>667</v>
      </c>
      <c r="I161" s="160">
        <f t="shared" si="15"/>
        <v>3.49</v>
      </c>
      <c r="J161" s="212"/>
      <c r="K161" s="200">
        <v>0</v>
      </c>
      <c r="O161" s="4"/>
      <c r="P161" s="4"/>
      <c r="T161" s="4" t="s">
        <v>630</v>
      </c>
    </row>
    <row r="162" spans="1:23" ht="15" hidden="1" customHeight="1" x14ac:dyDescent="0.25">
      <c r="A162" s="96">
        <v>2019</v>
      </c>
      <c r="B162" s="96" t="s">
        <v>79</v>
      </c>
      <c r="C162" s="100">
        <v>36</v>
      </c>
      <c r="D162" s="186"/>
      <c r="E162" s="203" t="s">
        <v>725</v>
      </c>
      <c r="F162" s="186"/>
      <c r="G162" s="99">
        <v>1525.82</v>
      </c>
      <c r="H162" s="133" t="s">
        <v>625</v>
      </c>
      <c r="I162" s="182">
        <f t="shared" si="15"/>
        <v>1525.82</v>
      </c>
      <c r="J162" s="212"/>
      <c r="K162" s="136">
        <f t="shared" ref="K162:K181" si="16">G162</f>
        <v>1525.82</v>
      </c>
      <c r="O162" s="4"/>
      <c r="P162" s="4"/>
      <c r="S162" t="s">
        <v>646</v>
      </c>
      <c r="T162" t="s">
        <v>726</v>
      </c>
      <c r="V162">
        <v>0.25</v>
      </c>
      <c r="W162" s="106">
        <f>K162*V162</f>
        <v>381.45499999999998</v>
      </c>
    </row>
    <row r="163" spans="1:23" ht="15" hidden="1" customHeight="1" x14ac:dyDescent="0.25">
      <c r="A163" s="187">
        <v>2019</v>
      </c>
      <c r="B163" s="187" t="s">
        <v>79</v>
      </c>
      <c r="C163" s="213">
        <v>144</v>
      </c>
      <c r="D163" s="98"/>
      <c r="E163" s="209" t="s">
        <v>727</v>
      </c>
      <c r="F163" s="98"/>
      <c r="G163" s="191">
        <v>26</v>
      </c>
      <c r="H163" s="192" t="s">
        <v>667</v>
      </c>
      <c r="I163" s="160">
        <f t="shared" si="15"/>
        <v>26</v>
      </c>
      <c r="J163" s="212"/>
      <c r="K163" s="193">
        <v>0</v>
      </c>
      <c r="O163" s="4"/>
      <c r="P163" s="4"/>
      <c r="T163" t="s">
        <v>630</v>
      </c>
    </row>
    <row r="164" spans="1:23" ht="15" hidden="1" customHeight="1" x14ac:dyDescent="0.25">
      <c r="A164" s="96"/>
      <c r="B164" s="96" t="s">
        <v>79</v>
      </c>
      <c r="C164" s="100">
        <v>144</v>
      </c>
      <c r="D164" s="98"/>
      <c r="E164" s="216" t="s">
        <v>728</v>
      </c>
      <c r="F164" s="98"/>
      <c r="G164" s="99">
        <v>26</v>
      </c>
      <c r="H164" s="133" t="s">
        <v>667</v>
      </c>
      <c r="I164" s="160">
        <f t="shared" si="15"/>
        <v>26</v>
      </c>
      <c r="J164" s="212"/>
      <c r="K164" s="160">
        <v>0</v>
      </c>
      <c r="O164" s="4"/>
      <c r="P164" s="4"/>
      <c r="T164" t="s">
        <v>630</v>
      </c>
    </row>
    <row r="165" spans="1:23" ht="15" hidden="1" customHeight="1" x14ac:dyDescent="0.25">
      <c r="A165" s="96">
        <v>2019</v>
      </c>
      <c r="B165" s="96" t="s">
        <v>79</v>
      </c>
      <c r="C165" s="100">
        <v>153</v>
      </c>
      <c r="D165" s="98"/>
      <c r="E165" s="216" t="s">
        <v>729</v>
      </c>
      <c r="F165" s="98"/>
      <c r="G165" s="99">
        <v>55</v>
      </c>
      <c r="H165" s="133" t="s">
        <v>667</v>
      </c>
      <c r="I165" s="160">
        <f t="shared" si="15"/>
        <v>55</v>
      </c>
      <c r="J165" s="212"/>
      <c r="K165" s="160">
        <v>0</v>
      </c>
      <c r="O165" s="4"/>
      <c r="P165" s="4"/>
      <c r="T165" t="s">
        <v>630</v>
      </c>
    </row>
    <row r="166" spans="1:23" ht="15" hidden="1" customHeight="1" x14ac:dyDescent="0.25">
      <c r="A166" s="96">
        <v>2019</v>
      </c>
      <c r="B166" s="96" t="s">
        <v>79</v>
      </c>
      <c r="C166" s="100">
        <v>224</v>
      </c>
      <c r="D166" s="98"/>
      <c r="E166" s="216" t="s">
        <v>729</v>
      </c>
      <c r="F166" s="98"/>
      <c r="G166" s="99">
        <v>43</v>
      </c>
      <c r="H166" s="133" t="s">
        <v>667</v>
      </c>
      <c r="I166" s="160">
        <f t="shared" si="15"/>
        <v>43</v>
      </c>
      <c r="J166" s="212"/>
      <c r="K166" s="160">
        <v>0</v>
      </c>
      <c r="O166" s="4"/>
      <c r="P166" s="4"/>
      <c r="T166" t="s">
        <v>630</v>
      </c>
    </row>
    <row r="167" spans="1:23" ht="15" hidden="1" customHeight="1" x14ac:dyDescent="0.25">
      <c r="A167" s="96">
        <v>2019</v>
      </c>
      <c r="B167" s="96" t="s">
        <v>79</v>
      </c>
      <c r="C167" s="100">
        <v>273</v>
      </c>
      <c r="D167" s="98"/>
      <c r="E167" s="216" t="s">
        <v>673</v>
      </c>
      <c r="F167" s="98"/>
      <c r="G167" s="99">
        <v>1526.68</v>
      </c>
      <c r="H167" s="133" t="s">
        <v>667</v>
      </c>
      <c r="I167" s="160">
        <f t="shared" si="15"/>
        <v>1526.68</v>
      </c>
      <c r="J167" s="212"/>
      <c r="K167" s="160">
        <v>0</v>
      </c>
      <c r="O167" s="4"/>
      <c r="P167" s="4"/>
      <c r="T167" t="s">
        <v>630</v>
      </c>
    </row>
    <row r="168" spans="1:23" ht="15.75" hidden="1" customHeight="1" x14ac:dyDescent="0.25">
      <c r="A168" s="194">
        <v>2019</v>
      </c>
      <c r="B168" s="194" t="s">
        <v>79</v>
      </c>
      <c r="C168" s="214">
        <v>273</v>
      </c>
      <c r="D168" s="98"/>
      <c r="E168" s="211" t="s">
        <v>685</v>
      </c>
      <c r="F168" s="98"/>
      <c r="G168" s="198">
        <v>1340.04</v>
      </c>
      <c r="H168" s="199" t="s">
        <v>667</v>
      </c>
      <c r="I168" s="160">
        <f t="shared" si="15"/>
        <v>1340.04</v>
      </c>
      <c r="J168" s="212"/>
      <c r="K168" s="200">
        <v>0</v>
      </c>
      <c r="O168" s="4"/>
      <c r="P168" s="4"/>
      <c r="T168" t="s">
        <v>630</v>
      </c>
    </row>
    <row r="169" spans="1:23" ht="15" hidden="1" customHeight="1" x14ac:dyDescent="0.25">
      <c r="A169" s="96">
        <v>2019</v>
      </c>
      <c r="B169" s="96" t="s">
        <v>122</v>
      </c>
      <c r="C169" s="100">
        <v>309</v>
      </c>
      <c r="D169" s="186"/>
      <c r="E169" s="203" t="s">
        <v>730</v>
      </c>
      <c r="F169" s="186"/>
      <c r="G169" s="99">
        <v>18800000</v>
      </c>
      <c r="H169" s="133" t="s">
        <v>625</v>
      </c>
      <c r="I169" s="182">
        <f t="shared" si="15"/>
        <v>18800000</v>
      </c>
      <c r="J169" s="212"/>
      <c r="K169" s="136">
        <f t="shared" si="16"/>
        <v>18800000</v>
      </c>
      <c r="O169" s="4"/>
      <c r="P169" s="4"/>
      <c r="T169" t="s">
        <v>630</v>
      </c>
    </row>
    <row r="170" spans="1:23" ht="15" hidden="1" customHeight="1" x14ac:dyDescent="0.25">
      <c r="A170" s="96">
        <v>2019</v>
      </c>
      <c r="B170" s="96" t="s">
        <v>122</v>
      </c>
      <c r="C170" s="100">
        <v>309</v>
      </c>
      <c r="D170" s="186"/>
      <c r="E170" s="203" t="s">
        <v>730</v>
      </c>
      <c r="F170" s="186"/>
      <c r="G170" s="99">
        <v>15000000</v>
      </c>
      <c r="H170" s="133" t="s">
        <v>625</v>
      </c>
      <c r="I170" s="182">
        <f t="shared" si="15"/>
        <v>15000000</v>
      </c>
      <c r="J170" s="212"/>
      <c r="K170" s="136">
        <f t="shared" si="16"/>
        <v>15000000</v>
      </c>
      <c r="O170" s="4"/>
      <c r="P170" s="4"/>
      <c r="T170" t="s">
        <v>630</v>
      </c>
    </row>
    <row r="171" spans="1:23" ht="15" hidden="1" customHeight="1" x14ac:dyDescent="0.25">
      <c r="A171" s="96">
        <v>2019</v>
      </c>
      <c r="B171" s="96" t="s">
        <v>122</v>
      </c>
      <c r="C171" s="100">
        <v>309</v>
      </c>
      <c r="D171" s="186"/>
      <c r="E171" s="203" t="s">
        <v>730</v>
      </c>
      <c r="F171" s="186"/>
      <c r="G171" s="99">
        <v>13810000</v>
      </c>
      <c r="H171" s="133" t="s">
        <v>625</v>
      </c>
      <c r="I171" s="182">
        <f t="shared" si="15"/>
        <v>13810000</v>
      </c>
      <c r="J171" s="212"/>
      <c r="K171" s="136">
        <f t="shared" si="16"/>
        <v>13810000</v>
      </c>
      <c r="O171" s="4"/>
      <c r="P171" s="4"/>
      <c r="T171" t="s">
        <v>630</v>
      </c>
    </row>
    <row r="172" spans="1:23" ht="15" hidden="1" customHeight="1" x14ac:dyDescent="0.25">
      <c r="A172" s="96">
        <v>2019</v>
      </c>
      <c r="B172" s="96" t="s">
        <v>122</v>
      </c>
      <c r="C172" s="100">
        <v>380</v>
      </c>
      <c r="D172" s="186"/>
      <c r="E172" s="216" t="s">
        <v>731</v>
      </c>
      <c r="F172" s="186"/>
      <c r="G172" s="99">
        <v>150000</v>
      </c>
      <c r="H172" s="133" t="s">
        <v>656</v>
      </c>
      <c r="I172" s="182">
        <f t="shared" si="15"/>
        <v>150000</v>
      </c>
      <c r="J172" s="212"/>
      <c r="K172" s="136">
        <f>G172/2</f>
        <v>75000</v>
      </c>
      <c r="O172" s="4"/>
      <c r="P172" s="4"/>
      <c r="T172" t="s">
        <v>630</v>
      </c>
    </row>
    <row r="173" spans="1:23" ht="15" hidden="1" customHeight="1" x14ac:dyDescent="0.25">
      <c r="A173" s="96">
        <v>2019</v>
      </c>
      <c r="B173" s="96" t="s">
        <v>122</v>
      </c>
      <c r="C173" s="100">
        <v>380</v>
      </c>
      <c r="D173" s="186"/>
      <c r="E173" s="216" t="s">
        <v>731</v>
      </c>
      <c r="F173" s="186"/>
      <c r="G173" s="99">
        <v>100000</v>
      </c>
      <c r="H173" s="133" t="s">
        <v>656</v>
      </c>
      <c r="I173" s="182">
        <f t="shared" si="15"/>
        <v>100000</v>
      </c>
      <c r="J173" s="212"/>
      <c r="K173" s="136">
        <f t="shared" ref="K173:K174" si="17">G173/2</f>
        <v>50000</v>
      </c>
      <c r="O173" s="4"/>
      <c r="P173" s="4"/>
      <c r="T173" t="s">
        <v>630</v>
      </c>
    </row>
    <row r="174" spans="1:23" ht="15.75" hidden="1" customHeight="1" x14ac:dyDescent="0.25">
      <c r="A174" s="96">
        <v>2019</v>
      </c>
      <c r="B174" s="96" t="s">
        <v>122</v>
      </c>
      <c r="C174" s="100">
        <v>380</v>
      </c>
      <c r="D174" s="186"/>
      <c r="E174" s="216" t="s">
        <v>731</v>
      </c>
      <c r="F174" s="186"/>
      <c r="G174" s="99">
        <v>886000</v>
      </c>
      <c r="H174" s="133" t="s">
        <v>656</v>
      </c>
      <c r="I174" s="182">
        <f t="shared" si="15"/>
        <v>886000</v>
      </c>
      <c r="J174" s="212"/>
      <c r="K174" s="136">
        <f t="shared" si="17"/>
        <v>443000</v>
      </c>
      <c r="O174" s="4"/>
      <c r="P174" s="4"/>
      <c r="T174" t="s">
        <v>630</v>
      </c>
    </row>
    <row r="175" spans="1:23" ht="15.75" hidden="1" customHeight="1" x14ac:dyDescent="0.25">
      <c r="A175" s="96">
        <v>2019</v>
      </c>
      <c r="B175" s="96" t="s">
        <v>142</v>
      </c>
      <c r="C175" s="100">
        <v>351</v>
      </c>
      <c r="D175" s="186"/>
      <c r="E175" s="203" t="s">
        <v>732</v>
      </c>
      <c r="F175" s="186"/>
      <c r="G175" s="99">
        <v>210568.05</v>
      </c>
      <c r="H175" s="133" t="s">
        <v>625</v>
      </c>
      <c r="I175" s="182">
        <f t="shared" si="15"/>
        <v>210568.05</v>
      </c>
      <c r="J175" s="212"/>
      <c r="K175" s="136">
        <f t="shared" si="16"/>
        <v>210568.05</v>
      </c>
      <c r="O175" s="4"/>
      <c r="P175" s="4"/>
      <c r="T175" s="4" t="s">
        <v>630</v>
      </c>
    </row>
    <row r="176" spans="1:23" ht="15.75" hidden="1" customHeight="1" x14ac:dyDescent="0.25">
      <c r="A176" s="187">
        <v>2019</v>
      </c>
      <c r="B176" s="187" t="s">
        <v>166</v>
      </c>
      <c r="C176" s="213">
        <v>12</v>
      </c>
      <c r="D176" s="98"/>
      <c r="E176" s="209" t="s">
        <v>733</v>
      </c>
      <c r="F176" s="98"/>
      <c r="G176" s="191">
        <v>6353.22</v>
      </c>
      <c r="H176" s="192" t="s">
        <v>667</v>
      </c>
      <c r="I176" s="160">
        <f t="shared" si="15"/>
        <v>6353.22</v>
      </c>
      <c r="J176" s="212"/>
      <c r="K176" s="193">
        <v>0</v>
      </c>
      <c r="O176" s="4"/>
      <c r="P176" s="4"/>
      <c r="T176" t="s">
        <v>630</v>
      </c>
    </row>
    <row r="177" spans="1:20" ht="15.75" hidden="1" customHeight="1" x14ac:dyDescent="0.25">
      <c r="A177" s="194">
        <v>2019</v>
      </c>
      <c r="B177" s="194" t="s">
        <v>168</v>
      </c>
      <c r="C177" s="214"/>
      <c r="D177" s="98"/>
      <c r="E177" s="211" t="s">
        <v>734</v>
      </c>
      <c r="F177" s="98"/>
      <c r="G177" s="217">
        <v>0.02</v>
      </c>
      <c r="H177" s="199" t="s">
        <v>667</v>
      </c>
      <c r="I177" s="160">
        <f t="shared" si="15"/>
        <v>0.02</v>
      </c>
      <c r="J177" s="212"/>
      <c r="K177" s="200">
        <v>0</v>
      </c>
      <c r="O177" s="4"/>
      <c r="P177" s="4"/>
      <c r="T177" t="s">
        <v>735</v>
      </c>
    </row>
    <row r="178" spans="1:20" ht="48.75" hidden="1" customHeight="1" x14ac:dyDescent="0.25">
      <c r="A178" s="96">
        <v>2019</v>
      </c>
      <c r="B178" s="96" t="s">
        <v>176</v>
      </c>
      <c r="C178" s="100">
        <v>200</v>
      </c>
      <c r="D178" s="186"/>
      <c r="E178" s="218" t="s">
        <v>736</v>
      </c>
      <c r="F178" s="186"/>
      <c r="G178" s="99">
        <v>1740.93</v>
      </c>
      <c r="H178" s="133" t="s">
        <v>625</v>
      </c>
      <c r="I178" s="182">
        <f t="shared" si="15"/>
        <v>1740.93</v>
      </c>
      <c r="J178" s="212"/>
      <c r="K178" s="136">
        <f t="shared" si="16"/>
        <v>1740.93</v>
      </c>
      <c r="O178" s="4"/>
      <c r="P178" s="4" t="s">
        <v>807</v>
      </c>
      <c r="T178" s="4" t="s">
        <v>630</v>
      </c>
    </row>
    <row r="179" spans="1:20" ht="15" hidden="1" customHeight="1" x14ac:dyDescent="0.25">
      <c r="A179" s="151">
        <v>2019</v>
      </c>
      <c r="B179" s="151" t="s">
        <v>176</v>
      </c>
      <c r="C179" s="215">
        <v>258</v>
      </c>
      <c r="D179" s="98"/>
      <c r="E179" s="219" t="s">
        <v>737</v>
      </c>
      <c r="F179" s="98"/>
      <c r="G179" s="205">
        <v>14</v>
      </c>
      <c r="H179" s="156" t="s">
        <v>667</v>
      </c>
      <c r="I179" s="160"/>
      <c r="J179" s="212"/>
      <c r="K179" s="180">
        <v>0</v>
      </c>
      <c r="O179" s="4"/>
      <c r="P179" s="4"/>
      <c r="T179" t="s">
        <v>630</v>
      </c>
    </row>
    <row r="180" spans="1:20" ht="15" hidden="1" customHeight="1" x14ac:dyDescent="0.25">
      <c r="A180" s="96">
        <v>2019</v>
      </c>
      <c r="B180" s="96" t="s">
        <v>176</v>
      </c>
      <c r="C180" s="100">
        <v>258</v>
      </c>
      <c r="D180" s="186"/>
      <c r="E180" s="220" t="s">
        <v>756</v>
      </c>
      <c r="F180" s="186"/>
      <c r="G180" s="99">
        <v>14</v>
      </c>
      <c r="H180" s="133" t="s">
        <v>625</v>
      </c>
      <c r="I180" s="182"/>
      <c r="J180" s="212"/>
      <c r="K180" s="136">
        <f t="shared" si="16"/>
        <v>14</v>
      </c>
      <c r="O180" s="4"/>
      <c r="P180" s="4" t="s">
        <v>808</v>
      </c>
      <c r="T180" t="s">
        <v>630</v>
      </c>
    </row>
    <row r="181" spans="1:20" ht="15" hidden="1" customHeight="1" x14ac:dyDescent="0.25">
      <c r="A181" s="96">
        <v>2019</v>
      </c>
      <c r="B181" s="96" t="s">
        <v>176</v>
      </c>
      <c r="C181" s="100">
        <v>258</v>
      </c>
      <c r="D181" s="186"/>
      <c r="E181" s="220" t="s">
        <v>738</v>
      </c>
      <c r="F181" s="186"/>
      <c r="G181" s="99">
        <v>14</v>
      </c>
      <c r="H181" s="133" t="s">
        <v>625</v>
      </c>
      <c r="I181" s="182"/>
      <c r="J181" s="212"/>
      <c r="K181" s="136">
        <f t="shared" si="16"/>
        <v>14</v>
      </c>
      <c r="O181" s="4"/>
      <c r="P181" s="4" t="s">
        <v>808</v>
      </c>
      <c r="T181" t="s">
        <v>630</v>
      </c>
    </row>
    <row r="182" spans="1:20" ht="15" hidden="1" customHeight="1" x14ac:dyDescent="0.25">
      <c r="A182" s="187">
        <v>2019</v>
      </c>
      <c r="B182" s="187" t="s">
        <v>176</v>
      </c>
      <c r="C182" s="213">
        <v>258</v>
      </c>
      <c r="D182" s="98"/>
      <c r="E182" s="221" t="s">
        <v>739</v>
      </c>
      <c r="F182" s="98"/>
      <c r="G182" s="191">
        <v>14</v>
      </c>
      <c r="H182" s="192" t="s">
        <v>667</v>
      </c>
      <c r="I182" s="160"/>
      <c r="J182" s="212"/>
      <c r="K182" s="193">
        <v>0</v>
      </c>
      <c r="O182" s="4"/>
      <c r="P182" s="4"/>
      <c r="T182" t="s">
        <v>630</v>
      </c>
    </row>
    <row r="183" spans="1:20" ht="15" hidden="1" customHeight="1" x14ac:dyDescent="0.25">
      <c r="A183" s="96">
        <v>2019</v>
      </c>
      <c r="B183" s="96" t="s">
        <v>176</v>
      </c>
      <c r="C183" s="100">
        <v>258</v>
      </c>
      <c r="D183" s="98"/>
      <c r="E183" s="103" t="s">
        <v>740</v>
      </c>
      <c r="F183" s="98"/>
      <c r="G183" s="99">
        <v>14</v>
      </c>
      <c r="H183" s="133" t="s">
        <v>667</v>
      </c>
      <c r="I183" s="160"/>
      <c r="J183" s="212"/>
      <c r="K183" s="160">
        <v>0</v>
      </c>
      <c r="O183" s="4"/>
      <c r="P183" s="4"/>
      <c r="T183" t="s">
        <v>630</v>
      </c>
    </row>
    <row r="184" spans="1:20" ht="15" hidden="1" customHeight="1" x14ac:dyDescent="0.25">
      <c r="A184" s="96">
        <v>2019</v>
      </c>
      <c r="B184" s="96" t="s">
        <v>176</v>
      </c>
      <c r="C184" s="100">
        <v>258</v>
      </c>
      <c r="D184" s="98"/>
      <c r="E184" s="103" t="s">
        <v>741</v>
      </c>
      <c r="F184" s="98"/>
      <c r="G184" s="99">
        <v>14</v>
      </c>
      <c r="H184" s="133" t="s">
        <v>667</v>
      </c>
      <c r="I184" s="160"/>
      <c r="J184" s="212"/>
      <c r="K184" s="160">
        <v>0</v>
      </c>
      <c r="O184" s="4"/>
      <c r="P184" s="4"/>
      <c r="T184" t="s">
        <v>630</v>
      </c>
    </row>
    <row r="185" spans="1:20" ht="15" hidden="1" customHeight="1" x14ac:dyDescent="0.25">
      <c r="A185" s="96">
        <v>2019</v>
      </c>
      <c r="B185" s="96" t="s">
        <v>176</v>
      </c>
      <c r="C185" s="100">
        <v>258</v>
      </c>
      <c r="D185" s="98"/>
      <c r="E185" s="103" t="s">
        <v>742</v>
      </c>
      <c r="F185" s="98"/>
      <c r="G185" s="99">
        <v>14</v>
      </c>
      <c r="H185" s="133" t="s">
        <v>667</v>
      </c>
      <c r="I185" s="160"/>
      <c r="J185" s="212"/>
      <c r="K185" s="160">
        <v>0</v>
      </c>
      <c r="O185" s="4"/>
      <c r="P185" s="4"/>
      <c r="T185" t="s">
        <v>630</v>
      </c>
    </row>
    <row r="186" spans="1:20" ht="15" hidden="1" customHeight="1" x14ac:dyDescent="0.25">
      <c r="A186" s="96">
        <v>2019</v>
      </c>
      <c r="B186" s="96" t="s">
        <v>176</v>
      </c>
      <c r="C186" s="100">
        <v>258</v>
      </c>
      <c r="D186" s="98"/>
      <c r="E186" s="103" t="s">
        <v>743</v>
      </c>
      <c r="F186" s="98"/>
      <c r="G186" s="99">
        <v>14</v>
      </c>
      <c r="H186" s="133" t="s">
        <v>667</v>
      </c>
      <c r="I186" s="160"/>
      <c r="J186" s="212"/>
      <c r="K186" s="160">
        <v>0</v>
      </c>
      <c r="O186" s="4"/>
      <c r="P186" s="4"/>
      <c r="T186" t="s">
        <v>630</v>
      </c>
    </row>
    <row r="187" spans="1:20" ht="15" hidden="1" customHeight="1" x14ac:dyDescent="0.25">
      <c r="A187" s="96">
        <v>2019</v>
      </c>
      <c r="B187" s="96" t="s">
        <v>176</v>
      </c>
      <c r="C187" s="100">
        <v>258</v>
      </c>
      <c r="D187" s="98"/>
      <c r="E187" s="103" t="s">
        <v>744</v>
      </c>
      <c r="F187" s="98"/>
      <c r="G187" s="99">
        <v>14</v>
      </c>
      <c r="H187" s="133" t="s">
        <v>667</v>
      </c>
      <c r="I187" s="160"/>
      <c r="J187" s="212"/>
      <c r="K187" s="160">
        <v>0</v>
      </c>
      <c r="O187" s="4"/>
      <c r="P187" s="4"/>
      <c r="T187" t="s">
        <v>630</v>
      </c>
    </row>
    <row r="188" spans="1:20" ht="15" hidden="1" customHeight="1" x14ac:dyDescent="0.25">
      <c r="A188" s="96">
        <v>2019</v>
      </c>
      <c r="B188" s="96" t="s">
        <v>176</v>
      </c>
      <c r="C188" s="100">
        <v>258</v>
      </c>
      <c r="D188" s="98"/>
      <c r="E188" s="103" t="s">
        <v>745</v>
      </c>
      <c r="F188" s="98"/>
      <c r="G188" s="99">
        <v>14</v>
      </c>
      <c r="H188" s="133" t="s">
        <v>667</v>
      </c>
      <c r="I188" s="160"/>
      <c r="J188" s="212"/>
      <c r="K188" s="160">
        <v>0</v>
      </c>
      <c r="O188" s="4"/>
      <c r="P188" s="4"/>
      <c r="T188" t="s">
        <v>630</v>
      </c>
    </row>
    <row r="189" spans="1:20" ht="15" hidden="1" customHeight="1" x14ac:dyDescent="0.25">
      <c r="A189" s="96">
        <v>2019</v>
      </c>
      <c r="B189" s="96" t="s">
        <v>176</v>
      </c>
      <c r="C189" s="100">
        <v>258</v>
      </c>
      <c r="D189" s="98"/>
      <c r="E189" s="103" t="s">
        <v>746</v>
      </c>
      <c r="F189" s="98"/>
      <c r="G189" s="99">
        <v>14</v>
      </c>
      <c r="H189" s="133" t="s">
        <v>667</v>
      </c>
      <c r="I189" s="160"/>
      <c r="J189" s="212"/>
      <c r="K189" s="160">
        <v>0</v>
      </c>
      <c r="O189" s="4"/>
      <c r="P189" s="4"/>
      <c r="T189" t="s">
        <v>630</v>
      </c>
    </row>
    <row r="190" spans="1:20" ht="15" hidden="1" customHeight="1" x14ac:dyDescent="0.25">
      <c r="A190" s="96">
        <v>2019</v>
      </c>
      <c r="B190" s="96" t="s">
        <v>176</v>
      </c>
      <c r="C190" s="100">
        <v>258</v>
      </c>
      <c r="D190" s="98"/>
      <c r="E190" s="103" t="s">
        <v>747</v>
      </c>
      <c r="F190" s="98"/>
      <c r="G190" s="99">
        <v>14</v>
      </c>
      <c r="H190" s="133" t="s">
        <v>667</v>
      </c>
      <c r="I190" s="160"/>
      <c r="J190" s="212"/>
      <c r="K190" s="160">
        <v>0</v>
      </c>
      <c r="O190" s="4"/>
      <c r="P190" s="4"/>
      <c r="T190" t="s">
        <v>630</v>
      </c>
    </row>
    <row r="191" spans="1:20" ht="15" hidden="1" customHeight="1" x14ac:dyDescent="0.25">
      <c r="A191" s="96">
        <v>2019</v>
      </c>
      <c r="B191" s="96" t="s">
        <v>176</v>
      </c>
      <c r="C191" s="100">
        <v>258</v>
      </c>
      <c r="D191" s="98"/>
      <c r="E191" s="103" t="s">
        <v>747</v>
      </c>
      <c r="F191" s="98"/>
      <c r="G191" s="99">
        <v>14</v>
      </c>
      <c r="H191" s="133" t="s">
        <v>667</v>
      </c>
      <c r="I191" s="160"/>
      <c r="J191" s="212"/>
      <c r="K191" s="160">
        <v>0</v>
      </c>
      <c r="O191" s="4"/>
      <c r="P191" s="4"/>
      <c r="T191" t="s">
        <v>630</v>
      </c>
    </row>
    <row r="192" spans="1:20" ht="15" hidden="1" customHeight="1" x14ac:dyDescent="0.25">
      <c r="A192" s="96">
        <v>2019</v>
      </c>
      <c r="B192" s="96" t="s">
        <v>176</v>
      </c>
      <c r="C192" s="100">
        <v>258</v>
      </c>
      <c r="D192" s="98"/>
      <c r="E192" s="103" t="s">
        <v>748</v>
      </c>
      <c r="F192" s="98"/>
      <c r="G192" s="99">
        <v>59.47</v>
      </c>
      <c r="H192" s="133" t="s">
        <v>667</v>
      </c>
      <c r="I192" s="160"/>
      <c r="J192" s="212"/>
      <c r="K192" s="160">
        <v>0</v>
      </c>
      <c r="O192" s="4"/>
      <c r="P192" s="4"/>
      <c r="T192" t="s">
        <v>630</v>
      </c>
    </row>
    <row r="193" spans="1:25" ht="15" hidden="1" customHeight="1" x14ac:dyDescent="0.25">
      <c r="A193" s="96">
        <v>2019</v>
      </c>
      <c r="B193" s="96" t="s">
        <v>176</v>
      </c>
      <c r="C193" s="100">
        <v>258</v>
      </c>
      <c r="D193" s="98"/>
      <c r="E193" s="103" t="s">
        <v>749</v>
      </c>
      <c r="F193" s="98"/>
      <c r="G193" s="99">
        <v>104.07</v>
      </c>
      <c r="H193" s="133" t="s">
        <v>667</v>
      </c>
      <c r="I193" s="160">
        <f t="shared" ref="I193:I199" si="18">G193</f>
        <v>104.07</v>
      </c>
      <c r="J193" s="212"/>
      <c r="K193" s="160">
        <v>0</v>
      </c>
      <c r="O193" s="4"/>
      <c r="P193" s="4"/>
      <c r="T193" t="s">
        <v>630</v>
      </c>
    </row>
    <row r="194" spans="1:25" ht="15" hidden="1" customHeight="1" x14ac:dyDescent="0.25">
      <c r="A194" s="96">
        <v>2019</v>
      </c>
      <c r="B194" s="96" t="s">
        <v>176</v>
      </c>
      <c r="C194" s="100">
        <v>262</v>
      </c>
      <c r="D194" s="98"/>
      <c r="E194" s="216" t="s">
        <v>750</v>
      </c>
      <c r="F194" s="98"/>
      <c r="G194" s="99">
        <v>565.71</v>
      </c>
      <c r="H194" s="133" t="s">
        <v>667</v>
      </c>
      <c r="I194" s="160">
        <f t="shared" si="18"/>
        <v>565.71</v>
      </c>
      <c r="J194" s="212"/>
      <c r="K194" s="160">
        <v>0</v>
      </c>
      <c r="O194" s="4"/>
      <c r="P194" s="4"/>
      <c r="T194" t="s">
        <v>630</v>
      </c>
    </row>
    <row r="195" spans="1:25" ht="15" hidden="1" customHeight="1" x14ac:dyDescent="0.25">
      <c r="A195" s="96">
        <v>2019</v>
      </c>
      <c r="B195" s="96" t="s">
        <v>176</v>
      </c>
      <c r="C195" s="100">
        <v>262</v>
      </c>
      <c r="D195" s="98"/>
      <c r="E195" s="216" t="s">
        <v>689</v>
      </c>
      <c r="F195" s="98"/>
      <c r="G195" s="99">
        <v>544.57000000000005</v>
      </c>
      <c r="H195" s="133" t="s">
        <v>667</v>
      </c>
      <c r="I195" s="160">
        <f t="shared" si="18"/>
        <v>544.57000000000005</v>
      </c>
      <c r="J195" s="212"/>
      <c r="K195" s="160">
        <v>0</v>
      </c>
      <c r="O195" s="4"/>
      <c r="P195" s="4"/>
      <c r="T195" t="s">
        <v>630</v>
      </c>
    </row>
    <row r="196" spans="1:25" ht="15" hidden="1" customHeight="1" x14ac:dyDescent="0.25">
      <c r="A196" s="96">
        <v>2019</v>
      </c>
      <c r="B196" s="96" t="s">
        <v>176</v>
      </c>
      <c r="C196" s="100">
        <v>262</v>
      </c>
      <c r="D196" s="98"/>
      <c r="E196" s="216" t="s">
        <v>751</v>
      </c>
      <c r="F196" s="98"/>
      <c r="G196" s="99">
        <v>544.57000000000005</v>
      </c>
      <c r="H196" s="133" t="s">
        <v>667</v>
      </c>
      <c r="I196" s="160">
        <f t="shared" si="18"/>
        <v>544.57000000000005</v>
      </c>
      <c r="J196" s="212"/>
      <c r="K196" s="160">
        <v>0</v>
      </c>
      <c r="O196" s="4"/>
      <c r="P196" s="4"/>
      <c r="T196" t="s">
        <v>630</v>
      </c>
    </row>
    <row r="197" spans="1:25" ht="36.75" hidden="1" customHeight="1" x14ac:dyDescent="0.25">
      <c r="A197" s="96">
        <v>2019</v>
      </c>
      <c r="B197" s="96" t="s">
        <v>176</v>
      </c>
      <c r="C197" s="100">
        <v>325</v>
      </c>
      <c r="D197" s="98"/>
      <c r="E197" s="102" t="s">
        <v>752</v>
      </c>
      <c r="F197" s="98"/>
      <c r="G197" s="99">
        <v>2879.56</v>
      </c>
      <c r="H197" s="133" t="s">
        <v>667</v>
      </c>
      <c r="I197" s="160">
        <f t="shared" si="18"/>
        <v>2879.56</v>
      </c>
      <c r="J197" s="212"/>
      <c r="K197" s="160">
        <v>0</v>
      </c>
      <c r="O197" s="4"/>
      <c r="P197" s="4"/>
      <c r="T197" s="4" t="s">
        <v>630</v>
      </c>
    </row>
    <row r="198" spans="1:25" ht="25.5" hidden="1" customHeight="1" x14ac:dyDescent="0.25">
      <c r="A198" s="194">
        <v>2019</v>
      </c>
      <c r="B198" s="194" t="s">
        <v>176</v>
      </c>
      <c r="C198" s="214">
        <v>326</v>
      </c>
      <c r="D198" s="98"/>
      <c r="E198" s="222" t="s">
        <v>753</v>
      </c>
      <c r="F198" s="98"/>
      <c r="G198" s="198">
        <v>4894.18</v>
      </c>
      <c r="H198" s="199" t="s">
        <v>667</v>
      </c>
      <c r="I198" s="160">
        <f t="shared" si="18"/>
        <v>4894.18</v>
      </c>
      <c r="J198" s="212"/>
      <c r="K198" s="200">
        <v>0</v>
      </c>
      <c r="O198" s="4"/>
      <c r="P198" s="4"/>
      <c r="T198" t="s">
        <v>630</v>
      </c>
    </row>
    <row r="199" spans="1:25" ht="15.75" hidden="1" customHeight="1" x14ac:dyDescent="0.25">
      <c r="A199" s="96">
        <v>2019</v>
      </c>
      <c r="B199" s="96" t="s">
        <v>182</v>
      </c>
      <c r="C199" s="100"/>
      <c r="D199" s="186"/>
      <c r="E199" s="216" t="s">
        <v>183</v>
      </c>
      <c r="F199" s="186"/>
      <c r="G199" s="99">
        <v>53680.87</v>
      </c>
      <c r="H199" s="133" t="s">
        <v>656</v>
      </c>
      <c r="I199" s="182">
        <f t="shared" si="18"/>
        <v>53680.87</v>
      </c>
      <c r="J199" s="212"/>
      <c r="K199" s="136">
        <f>7645.06-K68</f>
        <v>7618</v>
      </c>
      <c r="O199" s="4"/>
      <c r="P199" s="4"/>
      <c r="T199" s="4" t="s">
        <v>630</v>
      </c>
      <c r="V199" t="s">
        <v>754</v>
      </c>
      <c r="W199" s="223"/>
      <c r="X199" s="223">
        <v>81114996</v>
      </c>
      <c r="Y199" t="s">
        <v>755</v>
      </c>
    </row>
    <row r="200" spans="1:25" ht="15.75" hidden="1" customHeight="1" x14ac:dyDescent="0.25">
      <c r="A200" s="187">
        <v>2020</v>
      </c>
      <c r="B200" s="187" t="s">
        <v>48</v>
      </c>
      <c r="C200" s="213">
        <v>369</v>
      </c>
      <c r="D200" s="98"/>
      <c r="E200" s="209" t="s">
        <v>682</v>
      </c>
      <c r="F200" s="98"/>
      <c r="G200" s="191">
        <v>804393.56</v>
      </c>
      <c r="H200" s="192" t="s">
        <v>667</v>
      </c>
      <c r="I200" s="99"/>
      <c r="J200" s="99"/>
      <c r="K200" s="193">
        <v>0</v>
      </c>
      <c r="O200" s="4"/>
      <c r="P200" s="4"/>
      <c r="T200" s="4"/>
      <c r="W200" s="104"/>
      <c r="X200" s="104"/>
    </row>
    <row r="201" spans="1:25" ht="15.75" hidden="1" customHeight="1" x14ac:dyDescent="0.25">
      <c r="A201" s="194">
        <v>2020</v>
      </c>
      <c r="B201" s="194" t="s">
        <v>54</v>
      </c>
      <c r="C201" s="214">
        <v>369</v>
      </c>
      <c r="D201" s="98"/>
      <c r="E201" s="211" t="s">
        <v>682</v>
      </c>
      <c r="F201" s="98"/>
      <c r="G201" s="198">
        <v>272042.46000000002</v>
      </c>
      <c r="H201" s="199" t="s">
        <v>667</v>
      </c>
      <c r="I201" s="99"/>
      <c r="J201" s="99"/>
      <c r="K201" s="200">
        <v>0</v>
      </c>
      <c r="O201" s="4"/>
      <c r="P201" s="4"/>
      <c r="T201" s="4"/>
      <c r="W201" s="104"/>
      <c r="X201" s="104"/>
    </row>
    <row r="202" spans="1:25" hidden="1" x14ac:dyDescent="0.25">
      <c r="A202" s="96">
        <v>2020</v>
      </c>
      <c r="B202" s="96" t="s">
        <v>68</v>
      </c>
      <c r="C202" s="100">
        <v>8</v>
      </c>
      <c r="D202" s="186"/>
      <c r="E202" s="203" t="s">
        <v>683</v>
      </c>
      <c r="F202" s="186"/>
      <c r="G202" s="99">
        <v>3236.4</v>
      </c>
      <c r="H202" s="133" t="s">
        <v>625</v>
      </c>
      <c r="I202" s="186"/>
      <c r="J202" s="98"/>
      <c r="K202" s="136">
        <f t="shared" ref="K202:K249" si="19">G202</f>
        <v>3236.4</v>
      </c>
      <c r="P202" s="4" t="s">
        <v>636</v>
      </c>
      <c r="S202" t="s">
        <v>631</v>
      </c>
      <c r="U202" s="4" t="s">
        <v>637</v>
      </c>
    </row>
    <row r="203" spans="1:25" hidden="1" x14ac:dyDescent="0.25">
      <c r="A203" s="96">
        <v>2020</v>
      </c>
      <c r="B203" s="96" t="s">
        <v>68</v>
      </c>
      <c r="C203" s="100">
        <v>39</v>
      </c>
      <c r="D203" s="186"/>
      <c r="E203" s="203" t="s">
        <v>683</v>
      </c>
      <c r="F203" s="186"/>
      <c r="G203" s="99">
        <v>3236.4</v>
      </c>
      <c r="H203" s="133" t="s">
        <v>625</v>
      </c>
      <c r="I203" s="186"/>
      <c r="J203" s="98"/>
      <c r="K203" s="136">
        <f t="shared" si="19"/>
        <v>3236.4</v>
      </c>
      <c r="P203" s="4" t="s">
        <v>636</v>
      </c>
      <c r="S203" t="s">
        <v>631</v>
      </c>
      <c r="U203" s="4" t="s">
        <v>637</v>
      </c>
    </row>
    <row r="204" spans="1:25" x14ac:dyDescent="0.25">
      <c r="A204" s="96">
        <v>2020</v>
      </c>
      <c r="B204" s="96" t="s">
        <v>68</v>
      </c>
      <c r="C204" s="100">
        <v>130</v>
      </c>
      <c r="D204" s="186"/>
      <c r="E204" s="203" t="s">
        <v>688</v>
      </c>
      <c r="F204" s="186"/>
      <c r="G204" s="99">
        <v>665.97</v>
      </c>
      <c r="H204" s="133" t="s">
        <v>625</v>
      </c>
      <c r="I204" s="186"/>
      <c r="J204" s="98"/>
      <c r="K204" s="136">
        <f t="shared" si="19"/>
        <v>665.97</v>
      </c>
      <c r="P204" s="4" t="s">
        <v>629</v>
      </c>
      <c r="S204" t="s">
        <v>646</v>
      </c>
      <c r="T204" t="s">
        <v>630</v>
      </c>
      <c r="U204" t="s">
        <v>632</v>
      </c>
      <c r="V204">
        <v>0.05</v>
      </c>
      <c r="W204" s="106">
        <f>K204*V204</f>
        <v>33.298500000000004</v>
      </c>
    </row>
    <row r="205" spans="1:25" hidden="1" x14ac:dyDescent="0.25">
      <c r="A205" s="151">
        <v>2020</v>
      </c>
      <c r="B205" s="151" t="s">
        <v>68</v>
      </c>
      <c r="C205" s="215">
        <v>130</v>
      </c>
      <c r="D205" s="98"/>
      <c r="E205" s="204" t="s">
        <v>689</v>
      </c>
      <c r="F205" s="98"/>
      <c r="G205" s="205">
        <v>40601.54</v>
      </c>
      <c r="H205" s="156" t="s">
        <v>667</v>
      </c>
      <c r="I205" s="98"/>
      <c r="J205" s="98"/>
      <c r="K205" s="180">
        <v>0</v>
      </c>
    </row>
    <row r="206" spans="1:25" x14ac:dyDescent="0.25">
      <c r="A206" s="96">
        <v>2020</v>
      </c>
      <c r="B206" s="96" t="s">
        <v>68</v>
      </c>
      <c r="C206" s="100">
        <v>137</v>
      </c>
      <c r="D206" s="186"/>
      <c r="E206" s="203" t="s">
        <v>689</v>
      </c>
      <c r="F206" s="186"/>
      <c r="G206" s="99">
        <v>864.76</v>
      </c>
      <c r="H206" s="133" t="s">
        <v>625</v>
      </c>
      <c r="I206" s="186"/>
      <c r="J206" s="98"/>
      <c r="K206" s="136">
        <f t="shared" si="19"/>
        <v>864.76</v>
      </c>
      <c r="P206" s="4" t="s">
        <v>636</v>
      </c>
      <c r="S206" t="s">
        <v>646</v>
      </c>
      <c r="T206" t="s">
        <v>630</v>
      </c>
      <c r="U206" t="s">
        <v>632</v>
      </c>
      <c r="V206">
        <v>0.05</v>
      </c>
      <c r="W206" s="106">
        <f>K206*V206</f>
        <v>43.238</v>
      </c>
    </row>
    <row r="207" spans="1:25" hidden="1" x14ac:dyDescent="0.25">
      <c r="A207" s="96">
        <v>2020</v>
      </c>
      <c r="B207" s="96" t="s">
        <v>68</v>
      </c>
      <c r="C207" s="100">
        <v>137</v>
      </c>
      <c r="D207" s="186"/>
      <c r="E207" s="203" t="s">
        <v>683</v>
      </c>
      <c r="F207" s="186"/>
      <c r="G207" s="99">
        <v>3027.6</v>
      </c>
      <c r="H207" s="133" t="s">
        <v>625</v>
      </c>
      <c r="I207" s="186"/>
      <c r="J207" s="98"/>
      <c r="K207" s="136">
        <f t="shared" si="19"/>
        <v>3027.6</v>
      </c>
      <c r="P207" s="4" t="s">
        <v>636</v>
      </c>
      <c r="S207" t="s">
        <v>631</v>
      </c>
      <c r="U207" s="4" t="s">
        <v>637</v>
      </c>
    </row>
    <row r="208" spans="1:25" hidden="1" x14ac:dyDescent="0.25">
      <c r="A208" s="96">
        <v>2020</v>
      </c>
      <c r="B208" s="96" t="s">
        <v>68</v>
      </c>
      <c r="C208" s="100">
        <v>215</v>
      </c>
      <c r="D208" s="186"/>
      <c r="E208" s="203" t="s">
        <v>683</v>
      </c>
      <c r="F208" s="186"/>
      <c r="G208" s="99">
        <v>12736.8</v>
      </c>
      <c r="H208" s="133" t="s">
        <v>625</v>
      </c>
      <c r="I208" s="186"/>
      <c r="J208" s="98"/>
      <c r="K208" s="136">
        <f t="shared" si="19"/>
        <v>12736.8</v>
      </c>
      <c r="P208" s="4" t="s">
        <v>636</v>
      </c>
      <c r="S208" t="s">
        <v>631</v>
      </c>
      <c r="U208" s="4" t="s">
        <v>637</v>
      </c>
    </row>
    <row r="209" spans="1:23" hidden="1" x14ac:dyDescent="0.25">
      <c r="A209" s="96">
        <v>2020</v>
      </c>
      <c r="B209" s="96" t="s">
        <v>68</v>
      </c>
      <c r="C209" s="100">
        <v>231</v>
      </c>
      <c r="D209" s="186"/>
      <c r="E209" s="203" t="s">
        <v>683</v>
      </c>
      <c r="F209" s="186"/>
      <c r="G209" s="99">
        <v>3236.4</v>
      </c>
      <c r="H209" s="133" t="s">
        <v>625</v>
      </c>
      <c r="I209" s="186"/>
      <c r="J209" s="98"/>
      <c r="K209" s="136">
        <f t="shared" si="19"/>
        <v>3236.4</v>
      </c>
      <c r="P209" s="4" t="s">
        <v>636</v>
      </c>
      <c r="S209" t="s">
        <v>631</v>
      </c>
      <c r="U209" s="4" t="s">
        <v>637</v>
      </c>
    </row>
    <row r="210" spans="1:23" hidden="1" x14ac:dyDescent="0.25">
      <c r="A210" s="187">
        <v>2020</v>
      </c>
      <c r="B210" s="187" t="s">
        <v>68</v>
      </c>
      <c r="C210" s="213">
        <v>250</v>
      </c>
      <c r="D210" s="98"/>
      <c r="E210" s="209" t="s">
        <v>756</v>
      </c>
      <c r="F210" s="98"/>
      <c r="G210" s="191">
        <v>361.9</v>
      </c>
      <c r="H210" s="192" t="s">
        <v>667</v>
      </c>
      <c r="I210" s="98"/>
      <c r="J210" s="98"/>
      <c r="K210" s="193">
        <v>0</v>
      </c>
    </row>
    <row r="211" spans="1:23" hidden="1" x14ac:dyDescent="0.25">
      <c r="A211" s="96">
        <v>2020</v>
      </c>
      <c r="B211" s="96" t="s">
        <v>68</v>
      </c>
      <c r="C211" s="100">
        <v>250</v>
      </c>
      <c r="D211" s="98"/>
      <c r="E211" s="216" t="s">
        <v>719</v>
      </c>
      <c r="F211" s="98"/>
      <c r="G211" s="99">
        <v>4305.79</v>
      </c>
      <c r="H211" s="133" t="s">
        <v>667</v>
      </c>
      <c r="I211" s="98"/>
      <c r="J211" s="98"/>
      <c r="K211" s="160">
        <v>0</v>
      </c>
    </row>
    <row r="212" spans="1:23" hidden="1" x14ac:dyDescent="0.25">
      <c r="A212" s="194">
        <v>2020</v>
      </c>
      <c r="B212" s="194" t="s">
        <v>68</v>
      </c>
      <c r="C212" s="214">
        <v>250</v>
      </c>
      <c r="D212" s="98"/>
      <c r="E212" s="211" t="s">
        <v>719</v>
      </c>
      <c r="F212" s="98"/>
      <c r="G212" s="198">
        <v>3046.52</v>
      </c>
      <c r="H212" s="199" t="s">
        <v>667</v>
      </c>
      <c r="I212" s="98"/>
      <c r="J212" s="98"/>
      <c r="K212" s="200">
        <v>0</v>
      </c>
    </row>
    <row r="213" spans="1:23" hidden="1" x14ac:dyDescent="0.25">
      <c r="A213" s="96">
        <v>2020</v>
      </c>
      <c r="B213" s="96" t="s">
        <v>68</v>
      </c>
      <c r="C213" s="100">
        <v>282</v>
      </c>
      <c r="D213" s="186"/>
      <c r="E213" s="203" t="s">
        <v>683</v>
      </c>
      <c r="F213" s="186"/>
      <c r="G213" s="99">
        <v>3236.4</v>
      </c>
      <c r="H213" s="133" t="s">
        <v>625</v>
      </c>
      <c r="I213" s="186"/>
      <c r="J213" s="98"/>
      <c r="K213" s="136">
        <f t="shared" si="19"/>
        <v>3236.4</v>
      </c>
      <c r="P213" s="4" t="s">
        <v>636</v>
      </c>
      <c r="S213" t="s">
        <v>631</v>
      </c>
      <c r="U213" s="4" t="s">
        <v>637</v>
      </c>
    </row>
    <row r="214" spans="1:23" hidden="1" x14ac:dyDescent="0.25">
      <c r="A214" s="96">
        <v>2020</v>
      </c>
      <c r="B214" s="96" t="s">
        <v>68</v>
      </c>
      <c r="C214" s="100">
        <v>282</v>
      </c>
      <c r="D214" s="186"/>
      <c r="E214" s="203" t="s">
        <v>683</v>
      </c>
      <c r="F214" s="186"/>
      <c r="G214" s="99">
        <v>3132</v>
      </c>
      <c r="H214" s="133" t="s">
        <v>625</v>
      </c>
      <c r="I214" s="186"/>
      <c r="J214" s="98"/>
      <c r="K214" s="136">
        <f t="shared" si="19"/>
        <v>3132</v>
      </c>
      <c r="P214" s="4" t="s">
        <v>636</v>
      </c>
      <c r="S214" t="s">
        <v>631</v>
      </c>
      <c r="U214" s="4" t="s">
        <v>637</v>
      </c>
    </row>
    <row r="215" spans="1:23" hidden="1" x14ac:dyDescent="0.25">
      <c r="A215" s="96">
        <v>2020</v>
      </c>
      <c r="B215" s="96" t="s">
        <v>68</v>
      </c>
      <c r="C215" s="100">
        <v>310</v>
      </c>
      <c r="D215" s="186"/>
      <c r="E215" s="203" t="s">
        <v>683</v>
      </c>
      <c r="F215" s="186"/>
      <c r="G215" s="99">
        <v>3236.4</v>
      </c>
      <c r="H215" s="133" t="s">
        <v>625</v>
      </c>
      <c r="I215" s="186"/>
      <c r="J215" s="98"/>
      <c r="K215" s="136">
        <f t="shared" si="19"/>
        <v>3236.4</v>
      </c>
      <c r="P215" s="4" t="s">
        <v>636</v>
      </c>
      <c r="S215" t="s">
        <v>631</v>
      </c>
      <c r="U215" s="4" t="s">
        <v>637</v>
      </c>
    </row>
    <row r="216" spans="1:23" hidden="1" x14ac:dyDescent="0.25">
      <c r="A216" s="187">
        <v>2020</v>
      </c>
      <c r="B216" s="187" t="s">
        <v>68</v>
      </c>
      <c r="C216" s="213">
        <v>354</v>
      </c>
      <c r="D216" s="98"/>
      <c r="E216" s="209" t="s">
        <v>716</v>
      </c>
      <c r="F216" s="98"/>
      <c r="G216" s="191">
        <v>11903.12</v>
      </c>
      <c r="H216" s="192" t="s">
        <v>667</v>
      </c>
      <c r="I216" s="98"/>
      <c r="J216" s="98"/>
      <c r="K216" s="193">
        <v>0</v>
      </c>
    </row>
    <row r="217" spans="1:23" hidden="1" x14ac:dyDescent="0.25">
      <c r="A217" s="194">
        <v>2020</v>
      </c>
      <c r="B217" s="194" t="s">
        <v>68</v>
      </c>
      <c r="C217" s="214">
        <v>354</v>
      </c>
      <c r="D217" s="98"/>
      <c r="E217" s="211" t="s">
        <v>690</v>
      </c>
      <c r="F217" s="98"/>
      <c r="G217" s="198">
        <v>9858</v>
      </c>
      <c r="H217" s="199" t="s">
        <v>667</v>
      </c>
      <c r="I217" s="98"/>
      <c r="J217" s="98"/>
      <c r="K217" s="200">
        <v>0</v>
      </c>
    </row>
    <row r="218" spans="1:23" hidden="1" x14ac:dyDescent="0.25">
      <c r="A218" s="96">
        <v>2020</v>
      </c>
      <c r="B218" s="96" t="s">
        <v>68</v>
      </c>
      <c r="C218" s="100">
        <v>354</v>
      </c>
      <c r="D218" s="186"/>
      <c r="E218" s="203" t="s">
        <v>683</v>
      </c>
      <c r="F218" s="186"/>
      <c r="G218" s="99">
        <v>3132</v>
      </c>
      <c r="H218" s="133" t="s">
        <v>625</v>
      </c>
      <c r="I218" s="186"/>
      <c r="J218" s="98"/>
      <c r="K218" s="136">
        <f t="shared" si="19"/>
        <v>3132</v>
      </c>
      <c r="P218" s="4" t="s">
        <v>636</v>
      </c>
      <c r="S218" t="s">
        <v>631</v>
      </c>
      <c r="U218" s="4" t="s">
        <v>637</v>
      </c>
    </row>
    <row r="219" spans="1:23" hidden="1" x14ac:dyDescent="0.25">
      <c r="A219" s="151">
        <v>2020</v>
      </c>
      <c r="B219" s="151" t="s">
        <v>68</v>
      </c>
      <c r="C219" s="215">
        <v>367</v>
      </c>
      <c r="D219" s="98"/>
      <c r="E219" s="204" t="s">
        <v>693</v>
      </c>
      <c r="F219" s="98"/>
      <c r="G219" s="205">
        <v>2500</v>
      </c>
      <c r="H219" s="156" t="s">
        <v>667</v>
      </c>
      <c r="I219" s="98"/>
      <c r="J219" s="98"/>
      <c r="K219" s="180">
        <v>0</v>
      </c>
    </row>
    <row r="220" spans="1:23" x14ac:dyDescent="0.25">
      <c r="A220" s="96">
        <v>2020</v>
      </c>
      <c r="B220" s="96" t="s">
        <v>68</v>
      </c>
      <c r="C220" s="100">
        <v>367</v>
      </c>
      <c r="D220" s="186"/>
      <c r="E220" s="203" t="s">
        <v>757</v>
      </c>
      <c r="F220" s="186"/>
      <c r="G220" s="99">
        <v>3843.24</v>
      </c>
      <c r="H220" s="133" t="s">
        <v>625</v>
      </c>
      <c r="I220" s="186"/>
      <c r="J220" s="98"/>
      <c r="K220" s="136">
        <f t="shared" si="19"/>
        <v>3843.24</v>
      </c>
      <c r="P220" s="4" t="s">
        <v>629</v>
      </c>
      <c r="S220" t="s">
        <v>646</v>
      </c>
      <c r="T220" t="s">
        <v>630</v>
      </c>
      <c r="U220" t="s">
        <v>632</v>
      </c>
      <c r="V220">
        <v>0.05</v>
      </c>
      <c r="W220" s="106">
        <f>K220*V220</f>
        <v>192.16200000000001</v>
      </c>
    </row>
    <row r="221" spans="1:23" hidden="1" x14ac:dyDescent="0.25">
      <c r="A221" s="187">
        <v>2020</v>
      </c>
      <c r="B221" s="187" t="s">
        <v>68</v>
      </c>
      <c r="C221" s="213">
        <v>367</v>
      </c>
      <c r="D221" s="98"/>
      <c r="E221" s="209" t="s">
        <v>694</v>
      </c>
      <c r="F221" s="98"/>
      <c r="G221" s="191">
        <v>2923.17</v>
      </c>
      <c r="H221" s="192" t="s">
        <v>667</v>
      </c>
      <c r="I221" s="98"/>
      <c r="J221" s="98"/>
      <c r="K221" s="193">
        <v>0</v>
      </c>
    </row>
    <row r="222" spans="1:23" hidden="1" x14ac:dyDescent="0.25">
      <c r="A222" s="96">
        <v>2020</v>
      </c>
      <c r="B222" s="96" t="s">
        <v>68</v>
      </c>
      <c r="C222" s="100">
        <v>367</v>
      </c>
      <c r="D222" s="98"/>
      <c r="E222" s="216" t="s">
        <v>751</v>
      </c>
      <c r="F222" s="98"/>
      <c r="G222" s="99">
        <v>4106</v>
      </c>
      <c r="H222" s="133" t="s">
        <v>667</v>
      </c>
      <c r="I222" s="98"/>
      <c r="J222" s="98"/>
      <c r="K222" s="160">
        <v>0</v>
      </c>
    </row>
    <row r="223" spans="1:23" hidden="1" x14ac:dyDescent="0.25">
      <c r="A223" s="96">
        <v>2020</v>
      </c>
      <c r="B223" s="96" t="s">
        <v>68</v>
      </c>
      <c r="C223" s="100">
        <v>367</v>
      </c>
      <c r="D223" s="98"/>
      <c r="E223" s="216" t="s">
        <v>751</v>
      </c>
      <c r="F223" s="98"/>
      <c r="G223" s="99">
        <v>12173.13</v>
      </c>
      <c r="H223" s="133" t="s">
        <v>667</v>
      </c>
      <c r="I223" s="98"/>
      <c r="J223" s="98"/>
      <c r="K223" s="160">
        <v>0</v>
      </c>
    </row>
    <row r="224" spans="1:23" hidden="1" x14ac:dyDescent="0.25">
      <c r="A224" s="96">
        <v>2020</v>
      </c>
      <c r="B224" s="96" t="s">
        <v>68</v>
      </c>
      <c r="C224" s="100">
        <v>367</v>
      </c>
      <c r="D224" s="98"/>
      <c r="E224" s="216" t="s">
        <v>696</v>
      </c>
      <c r="F224" s="98"/>
      <c r="G224" s="99">
        <v>632039.73</v>
      </c>
      <c r="H224" s="133" t="s">
        <v>667</v>
      </c>
      <c r="I224" s="98"/>
      <c r="J224" s="98"/>
      <c r="K224" s="160">
        <v>0</v>
      </c>
    </row>
    <row r="225" spans="1:23" hidden="1" x14ac:dyDescent="0.25">
      <c r="A225" s="96">
        <v>2020</v>
      </c>
      <c r="B225" s="96" t="s">
        <v>68</v>
      </c>
      <c r="C225" s="100">
        <v>367</v>
      </c>
      <c r="D225" s="98"/>
      <c r="E225" s="216" t="s">
        <v>697</v>
      </c>
      <c r="F225" s="98"/>
      <c r="G225" s="99">
        <v>2500</v>
      </c>
      <c r="H225" s="133" t="s">
        <v>667</v>
      </c>
      <c r="I225" s="98"/>
      <c r="J225" s="98"/>
      <c r="K225" s="160">
        <v>0</v>
      </c>
    </row>
    <row r="226" spans="1:23" hidden="1" x14ac:dyDescent="0.25">
      <c r="A226" s="96">
        <v>2020</v>
      </c>
      <c r="B226" s="96" t="s">
        <v>68</v>
      </c>
      <c r="C226" s="100">
        <v>367</v>
      </c>
      <c r="D226" s="98"/>
      <c r="E226" s="216" t="s">
        <v>672</v>
      </c>
      <c r="F226" s="98"/>
      <c r="G226" s="99">
        <v>10405.870000000001</v>
      </c>
      <c r="H226" s="133" t="s">
        <v>667</v>
      </c>
      <c r="I226" s="98"/>
      <c r="J226" s="98"/>
      <c r="K226" s="160">
        <v>0</v>
      </c>
    </row>
    <row r="227" spans="1:23" hidden="1" x14ac:dyDescent="0.25">
      <c r="A227" s="96">
        <v>2020</v>
      </c>
      <c r="B227" s="96" t="s">
        <v>68</v>
      </c>
      <c r="C227" s="100">
        <v>367</v>
      </c>
      <c r="D227" s="98"/>
      <c r="E227" s="216" t="s">
        <v>737</v>
      </c>
      <c r="F227" s="98"/>
      <c r="G227" s="99">
        <v>2923.17</v>
      </c>
      <c r="H227" s="133" t="s">
        <v>667</v>
      </c>
      <c r="I227" s="98"/>
      <c r="J227" s="98"/>
      <c r="K227" s="160">
        <v>0</v>
      </c>
    </row>
    <row r="228" spans="1:23" hidden="1" x14ac:dyDescent="0.25">
      <c r="A228" s="96">
        <v>2020</v>
      </c>
      <c r="B228" s="96" t="s">
        <v>68</v>
      </c>
      <c r="C228" s="100">
        <v>367</v>
      </c>
      <c r="D228" s="98"/>
      <c r="E228" s="216" t="s">
        <v>758</v>
      </c>
      <c r="F228" s="98"/>
      <c r="G228" s="99">
        <v>2497.27</v>
      </c>
      <c r="H228" s="133" t="s">
        <v>667</v>
      </c>
      <c r="I228" s="98"/>
      <c r="J228" s="98"/>
      <c r="K228" s="160">
        <v>0</v>
      </c>
    </row>
    <row r="229" spans="1:23" hidden="1" x14ac:dyDescent="0.25">
      <c r="A229" s="194">
        <v>2020</v>
      </c>
      <c r="B229" s="194" t="s">
        <v>68</v>
      </c>
      <c r="C229" s="214">
        <v>367</v>
      </c>
      <c r="D229" s="98"/>
      <c r="E229" s="211" t="s">
        <v>758</v>
      </c>
      <c r="F229" s="98"/>
      <c r="G229" s="198">
        <v>2500</v>
      </c>
      <c r="H229" s="199" t="s">
        <v>667</v>
      </c>
      <c r="I229" s="98"/>
      <c r="J229" s="98"/>
      <c r="K229" s="200">
        <v>0</v>
      </c>
    </row>
    <row r="230" spans="1:23" x14ac:dyDescent="0.25">
      <c r="A230" s="96">
        <v>2020</v>
      </c>
      <c r="B230" s="96" t="s">
        <v>68</v>
      </c>
      <c r="C230" s="224">
        <v>367</v>
      </c>
      <c r="D230" s="186"/>
      <c r="E230" s="203" t="s">
        <v>756</v>
      </c>
      <c r="F230" s="186"/>
      <c r="G230" s="225">
        <v>500</v>
      </c>
      <c r="H230" s="133" t="s">
        <v>625</v>
      </c>
      <c r="I230" s="186"/>
      <c r="J230" s="98"/>
      <c r="K230" s="136">
        <f t="shared" si="19"/>
        <v>500</v>
      </c>
      <c r="S230" t="s">
        <v>646</v>
      </c>
      <c r="T230" t="s">
        <v>630</v>
      </c>
      <c r="U230" t="s">
        <v>632</v>
      </c>
      <c r="V230">
        <v>0.05</v>
      </c>
      <c r="W230" s="106">
        <f t="shared" ref="W230:W231" si="20">K230*V230</f>
        <v>25</v>
      </c>
    </row>
    <row r="231" spans="1:23" x14ac:dyDescent="0.25">
      <c r="A231" s="96">
        <v>2020</v>
      </c>
      <c r="B231" s="96" t="s">
        <v>68</v>
      </c>
      <c r="C231" s="100">
        <v>367</v>
      </c>
      <c r="D231" s="186"/>
      <c r="E231" s="203" t="s">
        <v>759</v>
      </c>
      <c r="F231" s="186"/>
      <c r="G231" s="99">
        <v>2500</v>
      </c>
      <c r="H231" s="133" t="s">
        <v>625</v>
      </c>
      <c r="I231" s="186"/>
      <c r="J231" s="98"/>
      <c r="K231" s="136">
        <f t="shared" si="19"/>
        <v>2500</v>
      </c>
      <c r="P231" s="4" t="s">
        <v>629</v>
      </c>
      <c r="S231" t="s">
        <v>646</v>
      </c>
      <c r="T231" t="s">
        <v>630</v>
      </c>
      <c r="U231" t="s">
        <v>632</v>
      </c>
      <c r="V231">
        <v>0.05</v>
      </c>
      <c r="W231" s="106">
        <f t="shared" si="20"/>
        <v>125</v>
      </c>
    </row>
    <row r="232" spans="1:23" hidden="1" x14ac:dyDescent="0.25">
      <c r="A232" s="187">
        <v>2020</v>
      </c>
      <c r="B232" s="187" t="s">
        <v>68</v>
      </c>
      <c r="C232" s="213">
        <v>367</v>
      </c>
      <c r="D232" s="98"/>
      <c r="E232" s="209" t="s">
        <v>760</v>
      </c>
      <c r="F232" s="98"/>
      <c r="G232" s="191">
        <v>7622.03</v>
      </c>
      <c r="H232" s="192" t="s">
        <v>667</v>
      </c>
      <c r="I232" s="98"/>
      <c r="J232" s="98"/>
      <c r="K232" s="193">
        <v>0</v>
      </c>
    </row>
    <row r="233" spans="1:23" hidden="1" x14ac:dyDescent="0.25">
      <c r="A233" s="96">
        <v>2020</v>
      </c>
      <c r="B233" s="96" t="s">
        <v>68</v>
      </c>
      <c r="C233" s="100">
        <v>367</v>
      </c>
      <c r="D233" s="98"/>
      <c r="E233" s="216" t="s">
        <v>700</v>
      </c>
      <c r="F233" s="98"/>
      <c r="G233" s="99">
        <v>72277.039999999994</v>
      </c>
      <c r="H233" s="133" t="s">
        <v>667</v>
      </c>
      <c r="I233" s="98"/>
      <c r="J233" s="98"/>
      <c r="K233" s="160">
        <v>0</v>
      </c>
    </row>
    <row r="234" spans="1:23" hidden="1" x14ac:dyDescent="0.25">
      <c r="A234" s="96">
        <v>2020</v>
      </c>
      <c r="B234" s="96" t="s">
        <v>68</v>
      </c>
      <c r="C234" s="100">
        <v>367</v>
      </c>
      <c r="D234" s="98"/>
      <c r="E234" s="216" t="s">
        <v>700</v>
      </c>
      <c r="F234" s="98"/>
      <c r="G234" s="99">
        <v>12690.49</v>
      </c>
      <c r="H234" s="133" t="s">
        <v>667</v>
      </c>
      <c r="I234" s="98"/>
      <c r="J234" s="98"/>
      <c r="K234" s="160">
        <v>0</v>
      </c>
    </row>
    <row r="235" spans="1:23" hidden="1" x14ac:dyDescent="0.25">
      <c r="A235" s="96">
        <v>2020</v>
      </c>
      <c r="B235" s="96" t="s">
        <v>68</v>
      </c>
      <c r="C235" s="100">
        <v>367</v>
      </c>
      <c r="D235" s="98"/>
      <c r="E235" s="216" t="s">
        <v>761</v>
      </c>
      <c r="F235" s="98"/>
      <c r="G235" s="99">
        <v>1130.83</v>
      </c>
      <c r="H235" s="133" t="s">
        <v>667</v>
      </c>
      <c r="I235" s="98"/>
      <c r="J235" s="98"/>
      <c r="K235" s="160">
        <v>0</v>
      </c>
    </row>
    <row r="236" spans="1:23" hidden="1" x14ac:dyDescent="0.25">
      <c r="A236" s="96">
        <v>2020</v>
      </c>
      <c r="B236" s="96" t="s">
        <v>68</v>
      </c>
      <c r="C236" s="100">
        <v>367</v>
      </c>
      <c r="D236" s="98"/>
      <c r="E236" s="216" t="s">
        <v>703</v>
      </c>
      <c r="F236" s="98"/>
      <c r="G236" s="99">
        <v>2490.9899999999998</v>
      </c>
      <c r="H236" s="133" t="s">
        <v>667</v>
      </c>
      <c r="I236" s="98"/>
      <c r="J236" s="98"/>
      <c r="K236" s="160">
        <v>0</v>
      </c>
    </row>
    <row r="237" spans="1:23" hidden="1" x14ac:dyDescent="0.25">
      <c r="A237" s="96">
        <v>2020</v>
      </c>
      <c r="B237" s="96" t="s">
        <v>68</v>
      </c>
      <c r="C237" s="100">
        <v>367</v>
      </c>
      <c r="D237" s="98"/>
      <c r="E237" s="216" t="s">
        <v>703</v>
      </c>
      <c r="F237" s="98"/>
      <c r="G237" s="99">
        <v>2500</v>
      </c>
      <c r="H237" s="133" t="s">
        <v>667</v>
      </c>
      <c r="I237" s="98"/>
      <c r="J237" s="98"/>
      <c r="K237" s="160">
        <v>0</v>
      </c>
    </row>
    <row r="238" spans="1:23" hidden="1" x14ac:dyDescent="0.25">
      <c r="A238" s="96">
        <v>2020</v>
      </c>
      <c r="B238" s="96" t="s">
        <v>68</v>
      </c>
      <c r="C238" s="100">
        <v>367</v>
      </c>
      <c r="D238" s="98"/>
      <c r="E238" s="216" t="s">
        <v>703</v>
      </c>
      <c r="F238" s="98"/>
      <c r="G238" s="99">
        <v>2500</v>
      </c>
      <c r="H238" s="133" t="s">
        <v>667</v>
      </c>
      <c r="I238" s="98"/>
      <c r="J238" s="98"/>
      <c r="K238" s="160">
        <v>0</v>
      </c>
    </row>
    <row r="239" spans="1:23" hidden="1" x14ac:dyDescent="0.25">
      <c r="A239" s="96">
        <v>2020</v>
      </c>
      <c r="B239" s="96" t="s">
        <v>68</v>
      </c>
      <c r="C239" s="100">
        <v>367</v>
      </c>
      <c r="D239" s="98"/>
      <c r="E239" s="216" t="s">
        <v>703</v>
      </c>
      <c r="F239" s="98"/>
      <c r="G239" s="99">
        <v>2500</v>
      </c>
      <c r="H239" s="133" t="s">
        <v>667</v>
      </c>
      <c r="I239" s="98"/>
      <c r="J239" s="98"/>
      <c r="K239" s="160">
        <v>0</v>
      </c>
    </row>
    <row r="240" spans="1:23" hidden="1" x14ac:dyDescent="0.25">
      <c r="A240" s="96">
        <v>2020</v>
      </c>
      <c r="B240" s="96" t="s">
        <v>68</v>
      </c>
      <c r="C240" s="100">
        <v>367</v>
      </c>
      <c r="D240" s="98"/>
      <c r="E240" s="216" t="s">
        <v>703</v>
      </c>
      <c r="F240" s="98"/>
      <c r="G240" s="99">
        <v>2500</v>
      </c>
      <c r="H240" s="133" t="s">
        <v>667</v>
      </c>
      <c r="I240" s="98"/>
      <c r="J240" s="98"/>
      <c r="K240" s="160">
        <v>0</v>
      </c>
    </row>
    <row r="241" spans="1:23" hidden="1" x14ac:dyDescent="0.25">
      <c r="A241" s="96">
        <v>2020</v>
      </c>
      <c r="B241" s="96" t="s">
        <v>68</v>
      </c>
      <c r="C241" s="100">
        <v>367</v>
      </c>
      <c r="D241" s="98"/>
      <c r="E241" s="216" t="s">
        <v>703</v>
      </c>
      <c r="F241" s="98"/>
      <c r="G241" s="99">
        <v>2500</v>
      </c>
      <c r="H241" s="133" t="s">
        <v>667</v>
      </c>
      <c r="I241" s="98"/>
      <c r="J241" s="98"/>
      <c r="K241" s="160">
        <v>0</v>
      </c>
    </row>
    <row r="242" spans="1:23" hidden="1" x14ac:dyDescent="0.25">
      <c r="A242" s="96">
        <v>2020</v>
      </c>
      <c r="B242" s="96" t="s">
        <v>68</v>
      </c>
      <c r="C242" s="100">
        <v>367</v>
      </c>
      <c r="D242" s="98"/>
      <c r="E242" s="216" t="s">
        <v>704</v>
      </c>
      <c r="F242" s="98"/>
      <c r="G242" s="99">
        <v>2500</v>
      </c>
      <c r="H242" s="133" t="s">
        <v>667</v>
      </c>
      <c r="I242" s="98"/>
      <c r="J242" s="98"/>
      <c r="K242" s="160">
        <v>0</v>
      </c>
    </row>
    <row r="243" spans="1:23" hidden="1" x14ac:dyDescent="0.25">
      <c r="A243" s="96">
        <v>2020</v>
      </c>
      <c r="B243" s="96" t="s">
        <v>68</v>
      </c>
      <c r="C243" s="100">
        <v>367</v>
      </c>
      <c r="D243" s="98"/>
      <c r="E243" s="216" t="s">
        <v>704</v>
      </c>
      <c r="F243" s="98"/>
      <c r="G243" s="99">
        <v>3213.33</v>
      </c>
      <c r="H243" s="133" t="s">
        <v>667</v>
      </c>
      <c r="I243" s="98"/>
      <c r="J243" s="98"/>
      <c r="K243" s="160">
        <v>0</v>
      </c>
    </row>
    <row r="244" spans="1:23" hidden="1" x14ac:dyDescent="0.25">
      <c r="A244" s="96">
        <v>2020</v>
      </c>
      <c r="B244" s="96" t="s">
        <v>68</v>
      </c>
      <c r="C244" s="100">
        <v>367</v>
      </c>
      <c r="D244" s="98"/>
      <c r="E244" s="216" t="s">
        <v>705</v>
      </c>
      <c r="F244" s="98"/>
      <c r="G244" s="99">
        <v>4054.03</v>
      </c>
      <c r="H244" s="133" t="s">
        <v>667</v>
      </c>
      <c r="I244" s="98"/>
      <c r="J244" s="98"/>
      <c r="K244" s="160">
        <v>0</v>
      </c>
    </row>
    <row r="245" spans="1:23" hidden="1" x14ac:dyDescent="0.25">
      <c r="A245" s="96">
        <v>2020</v>
      </c>
      <c r="B245" s="96" t="s">
        <v>68</v>
      </c>
      <c r="C245" s="100">
        <v>367</v>
      </c>
      <c r="D245" s="98"/>
      <c r="E245" s="216" t="s">
        <v>705</v>
      </c>
      <c r="F245" s="98"/>
      <c r="G245" s="99">
        <v>8948.5300000000007</v>
      </c>
      <c r="H245" s="133" t="s">
        <v>667</v>
      </c>
      <c r="I245" s="98"/>
      <c r="J245" s="98"/>
      <c r="K245" s="160">
        <v>0</v>
      </c>
    </row>
    <row r="246" spans="1:23" hidden="1" x14ac:dyDescent="0.25">
      <c r="A246" s="96">
        <v>2020</v>
      </c>
      <c r="B246" s="96" t="s">
        <v>68</v>
      </c>
      <c r="C246" s="100">
        <v>367</v>
      </c>
      <c r="D246" s="98"/>
      <c r="E246" s="216" t="s">
        <v>705</v>
      </c>
      <c r="F246" s="98"/>
      <c r="G246" s="99">
        <v>2500</v>
      </c>
      <c r="H246" s="133" t="s">
        <v>667</v>
      </c>
      <c r="I246" s="98"/>
      <c r="J246" s="98"/>
      <c r="K246" s="160">
        <v>0</v>
      </c>
    </row>
    <row r="247" spans="1:23" hidden="1" x14ac:dyDescent="0.25">
      <c r="A247" s="96">
        <v>2020</v>
      </c>
      <c r="B247" s="96" t="s">
        <v>68</v>
      </c>
      <c r="C247" s="100">
        <v>367</v>
      </c>
      <c r="D247" s="98"/>
      <c r="E247" s="216" t="s">
        <v>703</v>
      </c>
      <c r="F247" s="98"/>
      <c r="G247" s="99">
        <v>2500</v>
      </c>
      <c r="H247" s="133" t="s">
        <v>667</v>
      </c>
      <c r="I247" s="98"/>
      <c r="J247" s="98"/>
      <c r="K247" s="160">
        <v>0</v>
      </c>
    </row>
    <row r="248" spans="1:23" hidden="1" x14ac:dyDescent="0.25">
      <c r="A248" s="194">
        <v>2020</v>
      </c>
      <c r="B248" s="194" t="s">
        <v>68</v>
      </c>
      <c r="C248" s="214">
        <v>367</v>
      </c>
      <c r="D248" s="98"/>
      <c r="E248" s="211" t="s">
        <v>703</v>
      </c>
      <c r="F248" s="98"/>
      <c r="G248" s="198">
        <v>2500</v>
      </c>
      <c r="H248" s="199" t="s">
        <v>667</v>
      </c>
      <c r="I248" s="98"/>
      <c r="J248" s="98"/>
      <c r="K248" s="200">
        <v>0</v>
      </c>
    </row>
    <row r="249" spans="1:23" x14ac:dyDescent="0.25">
      <c r="A249" s="96">
        <v>2020</v>
      </c>
      <c r="B249" s="96" t="s">
        <v>68</v>
      </c>
      <c r="C249" s="100">
        <v>367</v>
      </c>
      <c r="D249" s="186"/>
      <c r="E249" s="203" t="s">
        <v>692</v>
      </c>
      <c r="F249" s="186"/>
      <c r="G249" s="99">
        <v>2497.27</v>
      </c>
      <c r="H249" s="133" t="s">
        <v>625</v>
      </c>
      <c r="I249" s="186"/>
      <c r="J249" s="98"/>
      <c r="K249" s="136">
        <f t="shared" si="19"/>
        <v>2497.27</v>
      </c>
      <c r="P249" s="4" t="s">
        <v>629</v>
      </c>
      <c r="S249" t="s">
        <v>646</v>
      </c>
      <c r="T249" t="s">
        <v>630</v>
      </c>
      <c r="U249" t="s">
        <v>632</v>
      </c>
      <c r="V249">
        <v>0.05</v>
      </c>
      <c r="W249" s="106">
        <f>K249*V249</f>
        <v>124.8635</v>
      </c>
    </row>
    <row r="250" spans="1:23" hidden="1" x14ac:dyDescent="0.25">
      <c r="A250" s="187">
        <v>2020</v>
      </c>
      <c r="B250" s="187" t="s">
        <v>68</v>
      </c>
      <c r="C250" s="213">
        <v>367</v>
      </c>
      <c r="D250" s="98"/>
      <c r="E250" s="209" t="s">
        <v>680</v>
      </c>
      <c r="F250" s="98"/>
      <c r="G250" s="191">
        <v>2500</v>
      </c>
      <c r="H250" s="192" t="s">
        <v>667</v>
      </c>
      <c r="I250" s="98"/>
      <c r="J250" s="98"/>
      <c r="K250" s="193">
        <v>0</v>
      </c>
    </row>
    <row r="251" spans="1:23" hidden="1" x14ac:dyDescent="0.25">
      <c r="A251" s="96">
        <v>2020</v>
      </c>
      <c r="B251" s="96" t="s">
        <v>68</v>
      </c>
      <c r="C251" s="100">
        <v>367</v>
      </c>
      <c r="D251" s="98"/>
      <c r="E251" s="216" t="s">
        <v>680</v>
      </c>
      <c r="F251" s="98"/>
      <c r="G251" s="99">
        <v>2500</v>
      </c>
      <c r="H251" s="133" t="s">
        <v>667</v>
      </c>
      <c r="I251" s="98"/>
      <c r="J251" s="98"/>
      <c r="K251" s="160">
        <v>0</v>
      </c>
    </row>
    <row r="252" spans="1:23" hidden="1" x14ac:dyDescent="0.25">
      <c r="A252" s="96">
        <v>2020</v>
      </c>
      <c r="B252" s="96" t="s">
        <v>68</v>
      </c>
      <c r="C252" s="100">
        <v>367</v>
      </c>
      <c r="D252" s="98"/>
      <c r="E252" s="216" t="s">
        <v>680</v>
      </c>
      <c r="F252" s="98"/>
      <c r="G252" s="99">
        <v>2500</v>
      </c>
      <c r="H252" s="133" t="s">
        <v>667</v>
      </c>
      <c r="I252" s="98"/>
      <c r="J252" s="98"/>
      <c r="K252" s="160">
        <v>0</v>
      </c>
    </row>
    <row r="253" spans="1:23" hidden="1" x14ac:dyDescent="0.25">
      <c r="A253" s="96">
        <v>2020</v>
      </c>
      <c r="B253" s="96" t="s">
        <v>68</v>
      </c>
      <c r="C253" s="100">
        <v>367</v>
      </c>
      <c r="D253" s="98"/>
      <c r="E253" s="216" t="s">
        <v>680</v>
      </c>
      <c r="F253" s="98"/>
      <c r="G253" s="99">
        <v>2500</v>
      </c>
      <c r="H253" s="133" t="s">
        <v>667</v>
      </c>
      <c r="I253" s="98"/>
      <c r="J253" s="98"/>
      <c r="K253" s="160">
        <v>0</v>
      </c>
    </row>
    <row r="254" spans="1:23" hidden="1" x14ac:dyDescent="0.25">
      <c r="A254" s="96">
        <v>2020</v>
      </c>
      <c r="B254" s="96" t="s">
        <v>68</v>
      </c>
      <c r="C254" s="100">
        <v>367</v>
      </c>
      <c r="D254" s="98"/>
      <c r="E254" s="216" t="s">
        <v>680</v>
      </c>
      <c r="F254" s="98"/>
      <c r="G254" s="99">
        <v>144191.57999999999</v>
      </c>
      <c r="H254" s="133" t="s">
        <v>667</v>
      </c>
      <c r="I254" s="98"/>
      <c r="J254" s="98"/>
      <c r="K254" s="160">
        <v>0</v>
      </c>
    </row>
    <row r="255" spans="1:23" hidden="1" x14ac:dyDescent="0.25">
      <c r="A255" s="96">
        <v>2020</v>
      </c>
      <c r="B255" s="96" t="s">
        <v>68</v>
      </c>
      <c r="C255" s="100">
        <v>367</v>
      </c>
      <c r="D255" s="98"/>
      <c r="E255" s="216" t="s">
        <v>680</v>
      </c>
      <c r="F255" s="98"/>
      <c r="G255" s="99">
        <v>30837.7</v>
      </c>
      <c r="H255" s="133" t="s">
        <v>667</v>
      </c>
      <c r="I255" s="98"/>
      <c r="J255" s="98"/>
      <c r="K255" s="160">
        <v>0</v>
      </c>
    </row>
    <row r="256" spans="1:23" hidden="1" x14ac:dyDescent="0.25">
      <c r="A256" s="96">
        <v>2020</v>
      </c>
      <c r="B256" s="96" t="s">
        <v>68</v>
      </c>
      <c r="C256" s="100">
        <v>367</v>
      </c>
      <c r="D256" s="98"/>
      <c r="E256" s="216" t="s">
        <v>689</v>
      </c>
      <c r="F256" s="98"/>
      <c r="G256" s="99">
        <v>8985.86</v>
      </c>
      <c r="H256" s="133" t="s">
        <v>667</v>
      </c>
      <c r="I256" s="98"/>
      <c r="J256" s="98"/>
      <c r="K256" s="160">
        <v>0</v>
      </c>
    </row>
    <row r="257" spans="1:11" hidden="1" x14ac:dyDescent="0.25">
      <c r="A257" s="96">
        <v>2020</v>
      </c>
      <c r="B257" s="96" t="s">
        <v>68</v>
      </c>
      <c r="C257" s="100">
        <v>367</v>
      </c>
      <c r="D257" s="98"/>
      <c r="E257" s="216" t="s">
        <v>707</v>
      </c>
      <c r="F257" s="98"/>
      <c r="G257" s="99">
        <v>61101.67</v>
      </c>
      <c r="H257" s="133" t="s">
        <v>667</v>
      </c>
      <c r="I257" s="98"/>
      <c r="J257" s="98"/>
      <c r="K257" s="160">
        <v>0</v>
      </c>
    </row>
    <row r="258" spans="1:11" hidden="1" x14ac:dyDescent="0.25">
      <c r="A258" s="96">
        <v>2020</v>
      </c>
      <c r="B258" s="96" t="s">
        <v>68</v>
      </c>
      <c r="C258" s="100">
        <v>367</v>
      </c>
      <c r="D258" s="98"/>
      <c r="E258" s="216" t="s">
        <v>685</v>
      </c>
      <c r="F258" s="98"/>
      <c r="G258" s="99">
        <v>2923.17</v>
      </c>
      <c r="H258" s="133" t="s">
        <v>667</v>
      </c>
      <c r="I258" s="98"/>
      <c r="J258" s="98"/>
      <c r="K258" s="160">
        <v>0</v>
      </c>
    </row>
    <row r="259" spans="1:11" hidden="1" x14ac:dyDescent="0.25">
      <c r="A259" s="96">
        <v>2020</v>
      </c>
      <c r="B259" s="96" t="s">
        <v>68</v>
      </c>
      <c r="C259" s="100">
        <v>367</v>
      </c>
      <c r="D259" s="98"/>
      <c r="E259" s="216" t="s">
        <v>762</v>
      </c>
      <c r="F259" s="98"/>
      <c r="G259" s="99">
        <v>1499.27</v>
      </c>
      <c r="H259" s="133" t="s">
        <v>667</v>
      </c>
      <c r="I259" s="98"/>
      <c r="J259" s="98"/>
      <c r="K259" s="160">
        <v>0</v>
      </c>
    </row>
    <row r="260" spans="1:11" hidden="1" x14ac:dyDescent="0.25">
      <c r="A260" s="96">
        <v>2020</v>
      </c>
      <c r="B260" s="96" t="s">
        <v>68</v>
      </c>
      <c r="C260" s="100">
        <v>367</v>
      </c>
      <c r="D260" s="98"/>
      <c r="E260" s="216" t="s">
        <v>762</v>
      </c>
      <c r="F260" s="98"/>
      <c r="G260" s="99">
        <v>805.74</v>
      </c>
      <c r="H260" s="133" t="s">
        <v>667</v>
      </c>
      <c r="I260" s="98"/>
      <c r="J260" s="98"/>
      <c r="K260" s="160">
        <v>0</v>
      </c>
    </row>
    <row r="261" spans="1:11" hidden="1" x14ac:dyDescent="0.25">
      <c r="A261" s="96">
        <v>2020</v>
      </c>
      <c r="B261" s="96" t="s">
        <v>68</v>
      </c>
      <c r="C261" s="100">
        <v>367</v>
      </c>
      <c r="D261" s="98"/>
      <c r="E261" s="216" t="s">
        <v>709</v>
      </c>
      <c r="F261" s="98"/>
      <c r="G261" s="99">
        <v>2696.13</v>
      </c>
      <c r="H261" s="133" t="s">
        <v>667</v>
      </c>
      <c r="I261" s="98"/>
      <c r="J261" s="98"/>
      <c r="K261" s="160">
        <v>0</v>
      </c>
    </row>
    <row r="262" spans="1:11" hidden="1" x14ac:dyDescent="0.25">
      <c r="A262" s="96">
        <v>2020</v>
      </c>
      <c r="B262" s="96" t="s">
        <v>68</v>
      </c>
      <c r="C262" s="100">
        <v>367</v>
      </c>
      <c r="D262" s="98"/>
      <c r="E262" s="216" t="s">
        <v>709</v>
      </c>
      <c r="F262" s="98"/>
      <c r="G262" s="99">
        <v>2900.66</v>
      </c>
      <c r="H262" s="133" t="s">
        <v>667</v>
      </c>
      <c r="I262" s="98"/>
      <c r="J262" s="98"/>
      <c r="K262" s="160">
        <v>0</v>
      </c>
    </row>
    <row r="263" spans="1:11" hidden="1" x14ac:dyDescent="0.25">
      <c r="A263" s="96">
        <v>2020</v>
      </c>
      <c r="B263" s="96" t="s">
        <v>68</v>
      </c>
      <c r="C263" s="100">
        <v>367</v>
      </c>
      <c r="D263" s="98"/>
      <c r="E263" s="216" t="s">
        <v>763</v>
      </c>
      <c r="F263" s="98"/>
      <c r="G263" s="99">
        <v>3763.74</v>
      </c>
      <c r="H263" s="133" t="s">
        <v>667</v>
      </c>
      <c r="I263" s="98"/>
      <c r="J263" s="98"/>
      <c r="K263" s="160">
        <v>0</v>
      </c>
    </row>
    <row r="264" spans="1:11" hidden="1" x14ac:dyDescent="0.25">
      <c r="A264" s="96">
        <v>2020</v>
      </c>
      <c r="B264" s="96" t="s">
        <v>68</v>
      </c>
      <c r="C264" s="100">
        <v>367</v>
      </c>
      <c r="D264" s="98"/>
      <c r="E264" s="216" t="s">
        <v>711</v>
      </c>
      <c r="F264" s="98"/>
      <c r="G264" s="99">
        <v>5537.26</v>
      </c>
      <c r="H264" s="133" t="s">
        <v>667</v>
      </c>
      <c r="I264" s="98"/>
      <c r="J264" s="98"/>
      <c r="K264" s="160">
        <v>0</v>
      </c>
    </row>
    <row r="265" spans="1:11" hidden="1" x14ac:dyDescent="0.25">
      <c r="A265" s="96">
        <v>2020</v>
      </c>
      <c r="B265" s="96" t="s">
        <v>68</v>
      </c>
      <c r="C265" s="100">
        <v>367</v>
      </c>
      <c r="D265" s="98"/>
      <c r="E265" s="216" t="s">
        <v>711</v>
      </c>
      <c r="F265" s="98"/>
      <c r="G265" s="99">
        <v>6285.11</v>
      </c>
      <c r="H265" s="133" t="s">
        <v>667</v>
      </c>
      <c r="I265" s="98"/>
      <c r="J265" s="98"/>
      <c r="K265" s="160">
        <v>0</v>
      </c>
    </row>
    <row r="266" spans="1:11" hidden="1" x14ac:dyDescent="0.25">
      <c r="A266" s="96">
        <v>2020</v>
      </c>
      <c r="B266" s="96" t="s">
        <v>68</v>
      </c>
      <c r="C266" s="100">
        <v>367</v>
      </c>
      <c r="D266" s="98"/>
      <c r="E266" s="216" t="s">
        <v>712</v>
      </c>
      <c r="F266" s="98"/>
      <c r="G266" s="99">
        <v>2923.17</v>
      </c>
      <c r="H266" s="133" t="s">
        <v>667</v>
      </c>
      <c r="I266" s="98"/>
      <c r="J266" s="98"/>
      <c r="K266" s="160">
        <v>0</v>
      </c>
    </row>
    <row r="267" spans="1:11" hidden="1" x14ac:dyDescent="0.25">
      <c r="A267" s="96">
        <v>2020</v>
      </c>
      <c r="B267" s="96" t="s">
        <v>68</v>
      </c>
      <c r="C267" s="100">
        <v>367</v>
      </c>
      <c r="D267" s="98"/>
      <c r="E267" s="216" t="s">
        <v>713</v>
      </c>
      <c r="F267" s="98"/>
      <c r="G267" s="99">
        <v>2923.17</v>
      </c>
      <c r="H267" s="133" t="s">
        <v>667</v>
      </c>
      <c r="I267" s="98"/>
      <c r="J267" s="98"/>
      <c r="K267" s="160">
        <v>0</v>
      </c>
    </row>
    <row r="268" spans="1:11" hidden="1" x14ac:dyDescent="0.25">
      <c r="A268" s="96">
        <v>2020</v>
      </c>
      <c r="B268" s="96" t="s">
        <v>68</v>
      </c>
      <c r="C268" s="100">
        <v>367</v>
      </c>
      <c r="D268" s="98"/>
      <c r="E268" s="216" t="s">
        <v>714</v>
      </c>
      <c r="F268" s="98"/>
      <c r="G268" s="99">
        <v>2923.17</v>
      </c>
      <c r="H268" s="133" t="s">
        <v>667</v>
      </c>
      <c r="I268" s="98"/>
      <c r="J268" s="98"/>
      <c r="K268" s="160">
        <v>0</v>
      </c>
    </row>
    <row r="269" spans="1:11" hidden="1" x14ac:dyDescent="0.25">
      <c r="A269" s="96">
        <v>2020</v>
      </c>
      <c r="B269" s="96" t="s">
        <v>68</v>
      </c>
      <c r="C269" s="100">
        <v>367</v>
      </c>
      <c r="D269" s="98"/>
      <c r="E269" s="216" t="s">
        <v>714</v>
      </c>
      <c r="F269" s="98"/>
      <c r="G269" s="99">
        <v>2500</v>
      </c>
      <c r="H269" s="133" t="s">
        <v>667</v>
      </c>
      <c r="I269" s="98"/>
      <c r="J269" s="98"/>
      <c r="K269" s="160">
        <v>0</v>
      </c>
    </row>
    <row r="270" spans="1:11" hidden="1" x14ac:dyDescent="0.25">
      <c r="A270" s="96">
        <v>2020</v>
      </c>
      <c r="B270" s="96" t="s">
        <v>68</v>
      </c>
      <c r="C270" s="100">
        <v>367</v>
      </c>
      <c r="D270" s="98"/>
      <c r="E270" s="216" t="s">
        <v>715</v>
      </c>
      <c r="F270" s="98"/>
      <c r="G270" s="99">
        <v>3897.46</v>
      </c>
      <c r="H270" s="133" t="s">
        <v>667</v>
      </c>
      <c r="I270" s="98"/>
      <c r="J270" s="98"/>
      <c r="K270" s="160">
        <v>0</v>
      </c>
    </row>
    <row r="271" spans="1:11" hidden="1" x14ac:dyDescent="0.25">
      <c r="A271" s="96">
        <v>2020</v>
      </c>
      <c r="B271" s="96" t="s">
        <v>68</v>
      </c>
      <c r="C271" s="100">
        <v>367</v>
      </c>
      <c r="D271" s="98"/>
      <c r="E271" s="216" t="s">
        <v>715</v>
      </c>
      <c r="F271" s="98"/>
      <c r="G271" s="99">
        <v>2500</v>
      </c>
      <c r="H271" s="133" t="s">
        <v>667</v>
      </c>
      <c r="I271" s="98"/>
      <c r="J271" s="98"/>
      <c r="K271" s="160">
        <v>0</v>
      </c>
    </row>
    <row r="272" spans="1:11" hidden="1" x14ac:dyDescent="0.25">
      <c r="A272" s="96">
        <v>2020</v>
      </c>
      <c r="B272" s="96" t="s">
        <v>68</v>
      </c>
      <c r="C272" s="100">
        <v>367</v>
      </c>
      <c r="D272" s="98"/>
      <c r="E272" s="216" t="s">
        <v>702</v>
      </c>
      <c r="F272" s="98"/>
      <c r="G272" s="99">
        <v>5360.77</v>
      </c>
      <c r="H272" s="133" t="s">
        <v>667</v>
      </c>
      <c r="I272" s="98"/>
      <c r="J272" s="98"/>
      <c r="K272" s="160">
        <v>0</v>
      </c>
    </row>
    <row r="273" spans="1:23" hidden="1" x14ac:dyDescent="0.25">
      <c r="A273" s="96">
        <v>2020</v>
      </c>
      <c r="B273" s="96" t="s">
        <v>68</v>
      </c>
      <c r="C273" s="100">
        <v>367</v>
      </c>
      <c r="D273" s="98"/>
      <c r="E273" s="216" t="s">
        <v>716</v>
      </c>
      <c r="F273" s="98"/>
      <c r="G273" s="99">
        <v>3410.29</v>
      </c>
      <c r="H273" s="133" t="s">
        <v>667</v>
      </c>
      <c r="I273" s="98"/>
      <c r="J273" s="98"/>
      <c r="K273" s="160">
        <v>0</v>
      </c>
    </row>
    <row r="274" spans="1:23" hidden="1" x14ac:dyDescent="0.25">
      <c r="A274" s="96">
        <v>2020</v>
      </c>
      <c r="B274" s="96" t="s">
        <v>68</v>
      </c>
      <c r="C274" s="100">
        <v>367</v>
      </c>
      <c r="D274" s="98"/>
      <c r="E274" s="216" t="s">
        <v>717</v>
      </c>
      <c r="F274" s="98"/>
      <c r="G274" s="99">
        <v>2500</v>
      </c>
      <c r="H274" s="133" t="s">
        <v>667</v>
      </c>
      <c r="I274" s="98"/>
      <c r="J274" s="98"/>
      <c r="K274" s="160">
        <v>0</v>
      </c>
    </row>
    <row r="275" spans="1:23" hidden="1" x14ac:dyDescent="0.25">
      <c r="A275" s="96">
        <v>2020</v>
      </c>
      <c r="B275" s="96" t="s">
        <v>68</v>
      </c>
      <c r="C275" s="100">
        <v>367</v>
      </c>
      <c r="D275" s="98"/>
      <c r="E275" s="216" t="s">
        <v>764</v>
      </c>
      <c r="F275" s="98"/>
      <c r="G275" s="99">
        <v>2500</v>
      </c>
      <c r="H275" s="133" t="s">
        <v>667</v>
      </c>
      <c r="I275" s="98"/>
      <c r="J275" s="98"/>
      <c r="K275" s="160">
        <v>0</v>
      </c>
    </row>
    <row r="276" spans="1:23" hidden="1" x14ac:dyDescent="0.25">
      <c r="A276" s="96">
        <v>2020</v>
      </c>
      <c r="B276" s="96" t="s">
        <v>68</v>
      </c>
      <c r="C276" s="100">
        <v>367</v>
      </c>
      <c r="D276" s="98"/>
      <c r="E276" s="216" t="s">
        <v>718</v>
      </c>
      <c r="F276" s="98"/>
      <c r="G276" s="99">
        <v>7920.72</v>
      </c>
      <c r="H276" s="133" t="s">
        <v>667</v>
      </c>
      <c r="I276" s="98"/>
      <c r="J276" s="98"/>
      <c r="K276" s="160">
        <v>0</v>
      </c>
    </row>
    <row r="277" spans="1:23" hidden="1" x14ac:dyDescent="0.25">
      <c r="A277" s="96">
        <v>2020</v>
      </c>
      <c r="B277" s="96" t="s">
        <v>68</v>
      </c>
      <c r="C277" s="100">
        <v>367</v>
      </c>
      <c r="D277" s="98"/>
      <c r="E277" s="216" t="s">
        <v>718</v>
      </c>
      <c r="F277" s="98"/>
      <c r="G277" s="99">
        <v>2500</v>
      </c>
      <c r="H277" s="133" t="s">
        <v>667</v>
      </c>
      <c r="I277" s="98"/>
      <c r="J277" s="98"/>
      <c r="K277" s="160">
        <v>0</v>
      </c>
    </row>
    <row r="278" spans="1:23" hidden="1" x14ac:dyDescent="0.25">
      <c r="A278" s="96">
        <v>2020</v>
      </c>
      <c r="B278" s="96" t="s">
        <v>68</v>
      </c>
      <c r="C278" s="100">
        <v>367</v>
      </c>
      <c r="D278" s="98"/>
      <c r="E278" s="216" t="s">
        <v>673</v>
      </c>
      <c r="F278" s="98"/>
      <c r="G278" s="99">
        <v>2923.17</v>
      </c>
      <c r="H278" s="133" t="s">
        <v>667</v>
      </c>
      <c r="I278" s="98"/>
      <c r="J278" s="98"/>
      <c r="K278" s="160">
        <v>0</v>
      </c>
    </row>
    <row r="279" spans="1:23" hidden="1" x14ac:dyDescent="0.25">
      <c r="A279" s="96">
        <v>2020</v>
      </c>
      <c r="B279" s="96" t="s">
        <v>68</v>
      </c>
      <c r="C279" s="100">
        <v>367</v>
      </c>
      <c r="D279" s="98"/>
      <c r="E279" s="216" t="s">
        <v>720</v>
      </c>
      <c r="F279" s="98"/>
      <c r="G279" s="99">
        <v>4394.4399999999996</v>
      </c>
      <c r="H279" s="133" t="s">
        <v>667</v>
      </c>
      <c r="I279" s="98"/>
      <c r="J279" s="98"/>
      <c r="K279" s="160">
        <v>0</v>
      </c>
    </row>
    <row r="280" spans="1:23" hidden="1" x14ac:dyDescent="0.25">
      <c r="A280" s="96">
        <v>2020</v>
      </c>
      <c r="B280" s="96" t="s">
        <v>68</v>
      </c>
      <c r="C280" s="100">
        <v>367</v>
      </c>
      <c r="D280" s="98"/>
      <c r="E280" s="216" t="s">
        <v>691</v>
      </c>
      <c r="F280" s="98"/>
      <c r="G280" s="99">
        <v>4310.82</v>
      </c>
      <c r="H280" s="133" t="s">
        <v>667</v>
      </c>
      <c r="I280" s="98"/>
      <c r="J280" s="98"/>
      <c r="K280" s="160">
        <v>0</v>
      </c>
    </row>
    <row r="281" spans="1:23" hidden="1" x14ac:dyDescent="0.25">
      <c r="A281" s="96">
        <v>2020</v>
      </c>
      <c r="B281" s="96" t="s">
        <v>68</v>
      </c>
      <c r="C281" s="100">
        <v>367</v>
      </c>
      <c r="D281" s="98"/>
      <c r="E281" s="216" t="s">
        <v>691</v>
      </c>
      <c r="F281" s="98"/>
      <c r="G281" s="99">
        <v>2490.36</v>
      </c>
      <c r="H281" s="133" t="s">
        <v>667</v>
      </c>
      <c r="I281" s="98"/>
      <c r="J281" s="98"/>
      <c r="K281" s="160">
        <v>0</v>
      </c>
    </row>
    <row r="282" spans="1:23" hidden="1" x14ac:dyDescent="0.25">
      <c r="A282" s="96">
        <v>2020</v>
      </c>
      <c r="B282" s="96" t="s">
        <v>68</v>
      </c>
      <c r="C282" s="100">
        <v>367</v>
      </c>
      <c r="D282" s="98"/>
      <c r="E282" s="216" t="s">
        <v>722</v>
      </c>
      <c r="F282" s="98"/>
      <c r="G282" s="99">
        <v>2500</v>
      </c>
      <c r="H282" s="133" t="s">
        <v>667</v>
      </c>
      <c r="I282" s="98"/>
      <c r="J282" s="98"/>
      <c r="K282" s="160">
        <v>0</v>
      </c>
    </row>
    <row r="283" spans="1:23" hidden="1" x14ac:dyDescent="0.25">
      <c r="A283" s="96">
        <v>2020</v>
      </c>
      <c r="B283" s="96" t="s">
        <v>68</v>
      </c>
      <c r="C283" s="100">
        <v>367</v>
      </c>
      <c r="D283" s="98"/>
      <c r="E283" s="216" t="s">
        <v>723</v>
      </c>
      <c r="F283" s="98"/>
      <c r="G283" s="99">
        <v>5028.08</v>
      </c>
      <c r="H283" s="133" t="s">
        <v>667</v>
      </c>
      <c r="I283" s="98"/>
      <c r="J283" s="98"/>
      <c r="K283" s="160">
        <v>0</v>
      </c>
    </row>
    <row r="284" spans="1:23" hidden="1" x14ac:dyDescent="0.25">
      <c r="A284" s="194">
        <v>2020</v>
      </c>
      <c r="B284" s="194" t="s">
        <v>72</v>
      </c>
      <c r="C284" s="214">
        <v>370</v>
      </c>
      <c r="D284" s="98"/>
      <c r="E284" s="211" t="s">
        <v>724</v>
      </c>
      <c r="F284" s="98"/>
      <c r="G284" s="198">
        <v>5.3</v>
      </c>
      <c r="H284" s="199" t="s">
        <v>667</v>
      </c>
      <c r="I284" s="98"/>
      <c r="J284" s="98"/>
      <c r="K284" s="200">
        <v>0</v>
      </c>
    </row>
    <row r="285" spans="1:23" x14ac:dyDescent="0.25">
      <c r="A285" s="96">
        <v>2020</v>
      </c>
      <c r="B285" s="96" t="s">
        <v>68</v>
      </c>
      <c r="C285" s="224">
        <v>367</v>
      </c>
      <c r="D285" s="186"/>
      <c r="E285" s="203" t="s">
        <v>809</v>
      </c>
      <c r="F285" s="186"/>
      <c r="G285" s="225">
        <v>500</v>
      </c>
      <c r="H285" s="133" t="s">
        <v>625</v>
      </c>
      <c r="I285" s="186"/>
      <c r="J285" s="98"/>
      <c r="K285" s="136">
        <f>G285</f>
        <v>500</v>
      </c>
      <c r="S285" t="s">
        <v>646</v>
      </c>
      <c r="T285" t="s">
        <v>630</v>
      </c>
      <c r="U285" t="s">
        <v>632</v>
      </c>
      <c r="V285">
        <v>0.05</v>
      </c>
      <c r="W285" s="106">
        <f>K285*V285</f>
        <v>25</v>
      </c>
    </row>
    <row r="286" spans="1:23" x14ac:dyDescent="0.25">
      <c r="A286" s="96">
        <v>2020</v>
      </c>
      <c r="B286" s="96" t="s">
        <v>79</v>
      </c>
      <c r="C286" s="100">
        <v>177</v>
      </c>
      <c r="D286" s="186"/>
      <c r="E286" s="203" t="s">
        <v>756</v>
      </c>
      <c r="F286" s="186"/>
      <c r="G286" s="99">
        <v>433.46</v>
      </c>
      <c r="H286" s="133" t="s">
        <v>625</v>
      </c>
      <c r="I286" s="186"/>
      <c r="J286" s="98"/>
      <c r="K286" s="136">
        <f t="shared" ref="K286:K303" si="21">G286</f>
        <v>433.46</v>
      </c>
      <c r="S286" t="s">
        <v>646</v>
      </c>
      <c r="U286" t="s">
        <v>632</v>
      </c>
      <c r="V286">
        <v>0.05</v>
      </c>
      <c r="W286" s="106">
        <f>K286*V286</f>
        <v>21.673000000000002</v>
      </c>
    </row>
    <row r="287" spans="1:23" hidden="1" x14ac:dyDescent="0.25">
      <c r="A287" s="187">
        <v>2020</v>
      </c>
      <c r="B287" s="187" t="s">
        <v>79</v>
      </c>
      <c r="C287" s="213">
        <v>177</v>
      </c>
      <c r="D287" s="98"/>
      <c r="E287" s="209" t="s">
        <v>673</v>
      </c>
      <c r="F287" s="98"/>
      <c r="G287" s="191">
        <v>1337.12</v>
      </c>
      <c r="H287" s="192" t="s">
        <v>667</v>
      </c>
      <c r="I287" s="98"/>
      <c r="J287" s="98"/>
      <c r="K287" s="193">
        <v>0</v>
      </c>
    </row>
    <row r="288" spans="1:23" hidden="1" x14ac:dyDescent="0.25">
      <c r="A288" s="194">
        <v>2020</v>
      </c>
      <c r="B288" s="194" t="s">
        <v>79</v>
      </c>
      <c r="C288" s="214">
        <v>177</v>
      </c>
      <c r="D288" s="98"/>
      <c r="E288" s="211" t="s">
        <v>685</v>
      </c>
      <c r="F288" s="98"/>
      <c r="G288" s="198">
        <v>313</v>
      </c>
      <c r="H288" s="199" t="s">
        <v>667</v>
      </c>
      <c r="I288" s="98"/>
      <c r="J288" s="98"/>
      <c r="K288" s="200">
        <v>0</v>
      </c>
    </row>
    <row r="289" spans="1:25" x14ac:dyDescent="0.25">
      <c r="A289" s="96">
        <v>2020</v>
      </c>
      <c r="B289" s="96" t="s">
        <v>79</v>
      </c>
      <c r="C289" s="100">
        <v>177</v>
      </c>
      <c r="D289" s="186"/>
      <c r="E289" s="203" t="s">
        <v>765</v>
      </c>
      <c r="F289" s="186"/>
      <c r="G289" s="99">
        <v>367.34</v>
      </c>
      <c r="H289" s="133" t="s">
        <v>625</v>
      </c>
      <c r="I289" s="186"/>
      <c r="J289" s="98"/>
      <c r="K289" s="136">
        <f t="shared" si="21"/>
        <v>367.34</v>
      </c>
      <c r="S289" t="s">
        <v>646</v>
      </c>
      <c r="U289" t="s">
        <v>632</v>
      </c>
      <c r="V289">
        <v>0.05</v>
      </c>
      <c r="W289" s="106">
        <f>K289*V289</f>
        <v>18.367000000000001</v>
      </c>
    </row>
    <row r="290" spans="1:25" hidden="1" x14ac:dyDescent="0.25">
      <c r="A290" s="187">
        <v>2020</v>
      </c>
      <c r="B290" s="187" t="s">
        <v>79</v>
      </c>
      <c r="C290" s="213">
        <v>250</v>
      </c>
      <c r="D290" s="98"/>
      <c r="E290" s="209" t="s">
        <v>719</v>
      </c>
      <c r="F290" s="98"/>
      <c r="G290" s="191">
        <v>2467</v>
      </c>
      <c r="H290" s="192" t="s">
        <v>667</v>
      </c>
      <c r="I290" s="98"/>
      <c r="J290" s="98"/>
      <c r="K290" s="193">
        <v>0</v>
      </c>
    </row>
    <row r="291" spans="1:25" hidden="1" x14ac:dyDescent="0.25">
      <c r="A291" s="194">
        <v>2020</v>
      </c>
      <c r="B291" s="194" t="s">
        <v>79</v>
      </c>
      <c r="C291" s="214">
        <v>250</v>
      </c>
      <c r="D291" s="98"/>
      <c r="E291" s="211" t="s">
        <v>719</v>
      </c>
      <c r="F291" s="98"/>
      <c r="G291" s="198">
        <v>1745.47</v>
      </c>
      <c r="H291" s="199" t="s">
        <v>667</v>
      </c>
      <c r="I291" s="98"/>
      <c r="J291" s="98"/>
      <c r="K291" s="200">
        <v>0</v>
      </c>
    </row>
    <row r="292" spans="1:25" hidden="1" x14ac:dyDescent="0.25">
      <c r="A292" s="96">
        <v>2020</v>
      </c>
      <c r="B292" s="96" t="s">
        <v>142</v>
      </c>
      <c r="C292" s="100">
        <v>126</v>
      </c>
      <c r="D292" s="186"/>
      <c r="E292" s="101" t="s">
        <v>766</v>
      </c>
      <c r="F292" s="186"/>
      <c r="G292" s="99">
        <v>421000</v>
      </c>
      <c r="H292" s="133" t="s">
        <v>656</v>
      </c>
      <c r="I292" s="186"/>
      <c r="J292" s="98"/>
      <c r="K292" s="136">
        <f>G292-52426.66</f>
        <v>368573.33999999997</v>
      </c>
    </row>
    <row r="293" spans="1:25" hidden="1" x14ac:dyDescent="0.25">
      <c r="A293" s="96">
        <v>2020</v>
      </c>
      <c r="B293" s="96" t="s">
        <v>142</v>
      </c>
      <c r="C293" s="100">
        <v>127</v>
      </c>
      <c r="D293" s="186"/>
      <c r="E293" s="216" t="s">
        <v>767</v>
      </c>
      <c r="F293" s="186"/>
      <c r="G293" s="99">
        <v>265000</v>
      </c>
      <c r="H293" s="133" t="s">
        <v>656</v>
      </c>
      <c r="I293" s="186"/>
      <c r="J293" s="98"/>
      <c r="K293" s="136">
        <f>G293-122825</f>
        <v>142175</v>
      </c>
    </row>
    <row r="294" spans="1:25" hidden="1" x14ac:dyDescent="0.25">
      <c r="A294" s="96">
        <v>2020</v>
      </c>
      <c r="B294" s="96" t="s">
        <v>142</v>
      </c>
      <c r="C294" s="100">
        <v>298</v>
      </c>
      <c r="D294" s="186"/>
      <c r="E294" s="226" t="s">
        <v>768</v>
      </c>
      <c r="F294" s="186"/>
      <c r="G294" s="99">
        <v>2980307</v>
      </c>
      <c r="H294" s="133" t="s">
        <v>625</v>
      </c>
      <c r="I294" s="186"/>
      <c r="J294" s="98"/>
      <c r="K294" s="136">
        <f t="shared" si="21"/>
        <v>2980307</v>
      </c>
    </row>
    <row r="295" spans="1:25" hidden="1" x14ac:dyDescent="0.25">
      <c r="A295" s="187">
        <v>2020</v>
      </c>
      <c r="B295" s="187" t="s">
        <v>166</v>
      </c>
      <c r="C295" s="213">
        <v>12</v>
      </c>
      <c r="D295" s="98"/>
      <c r="E295" s="227" t="s">
        <v>734</v>
      </c>
      <c r="F295" s="98"/>
      <c r="G295" s="191">
        <v>3054</v>
      </c>
      <c r="H295" s="192" t="s">
        <v>667</v>
      </c>
      <c r="I295" s="98"/>
      <c r="J295" s="98"/>
      <c r="K295" s="193">
        <v>0</v>
      </c>
    </row>
    <row r="296" spans="1:25" hidden="1" x14ac:dyDescent="0.25">
      <c r="A296" s="194">
        <v>2020</v>
      </c>
      <c r="B296" s="194" t="s">
        <v>176</v>
      </c>
      <c r="C296" s="214">
        <v>60</v>
      </c>
      <c r="D296" s="98"/>
      <c r="E296" s="211" t="s">
        <v>769</v>
      </c>
      <c r="F296" s="98"/>
      <c r="G296" s="198">
        <v>1089.1300000000001</v>
      </c>
      <c r="H296" s="199" t="s">
        <v>667</v>
      </c>
      <c r="I296" s="98"/>
      <c r="J296" s="98"/>
      <c r="K296" s="200">
        <v>0</v>
      </c>
    </row>
    <row r="297" spans="1:25" hidden="1" x14ac:dyDescent="0.25">
      <c r="A297" s="96">
        <v>2020</v>
      </c>
      <c r="B297" s="96" t="s">
        <v>176</v>
      </c>
      <c r="C297" s="100">
        <v>221</v>
      </c>
      <c r="D297" s="186"/>
      <c r="E297" s="203" t="s">
        <v>769</v>
      </c>
      <c r="F297" s="186"/>
      <c r="G297" s="99">
        <v>650.28</v>
      </c>
      <c r="H297" s="133" t="s">
        <v>625</v>
      </c>
      <c r="I297" s="186"/>
      <c r="J297" s="98"/>
      <c r="K297" s="136">
        <f t="shared" si="21"/>
        <v>650.28</v>
      </c>
      <c r="P297" s="4" t="s">
        <v>803</v>
      </c>
    </row>
    <row r="298" spans="1:25" hidden="1" x14ac:dyDescent="0.25">
      <c r="A298" s="96">
        <v>2020</v>
      </c>
      <c r="B298" s="96" t="s">
        <v>176</v>
      </c>
      <c r="C298" s="100">
        <v>226</v>
      </c>
      <c r="D298" s="186"/>
      <c r="E298" s="203" t="s">
        <v>756</v>
      </c>
      <c r="F298" s="186"/>
      <c r="G298" s="99">
        <v>21.9</v>
      </c>
      <c r="H298" s="133" t="s">
        <v>625</v>
      </c>
      <c r="I298" s="186"/>
      <c r="J298" s="98"/>
      <c r="K298" s="136">
        <f t="shared" si="21"/>
        <v>21.9</v>
      </c>
      <c r="P298" s="4" t="s">
        <v>808</v>
      </c>
    </row>
    <row r="299" spans="1:25" hidden="1" x14ac:dyDescent="0.25">
      <c r="A299" s="96">
        <v>2020</v>
      </c>
      <c r="B299" s="96" t="s">
        <v>176</v>
      </c>
      <c r="C299" s="100">
        <v>226</v>
      </c>
      <c r="D299" s="186"/>
      <c r="E299" s="216" t="s">
        <v>685</v>
      </c>
      <c r="F299" s="186"/>
      <c r="G299" s="99">
        <v>21.38</v>
      </c>
      <c r="H299" s="133" t="s">
        <v>625</v>
      </c>
      <c r="I299" s="186"/>
      <c r="J299" s="98"/>
      <c r="K299" s="136">
        <f t="shared" si="21"/>
        <v>21.38</v>
      </c>
      <c r="P299" s="4" t="s">
        <v>808</v>
      </c>
    </row>
    <row r="300" spans="1:25" hidden="1" x14ac:dyDescent="0.25">
      <c r="A300" s="96">
        <v>2020</v>
      </c>
      <c r="B300" s="96" t="s">
        <v>176</v>
      </c>
      <c r="C300" s="100">
        <v>226</v>
      </c>
      <c r="D300" s="186"/>
      <c r="E300" s="203" t="s">
        <v>765</v>
      </c>
      <c r="F300" s="186"/>
      <c r="G300" s="99">
        <v>21.9</v>
      </c>
      <c r="H300" s="133" t="s">
        <v>625</v>
      </c>
      <c r="I300" s="186"/>
      <c r="J300" s="98"/>
      <c r="K300" s="136">
        <f t="shared" si="21"/>
        <v>21.9</v>
      </c>
      <c r="P300" s="4" t="s">
        <v>808</v>
      </c>
    </row>
    <row r="301" spans="1:25" hidden="1" x14ac:dyDescent="0.25">
      <c r="A301" s="96">
        <v>2020</v>
      </c>
      <c r="B301" s="96" t="s">
        <v>176</v>
      </c>
      <c r="C301" s="100">
        <v>226</v>
      </c>
      <c r="D301" s="186"/>
      <c r="E301" s="203" t="s">
        <v>749</v>
      </c>
      <c r="F301" s="186"/>
      <c r="G301" s="99">
        <v>130.81</v>
      </c>
      <c r="H301" s="133" t="s">
        <v>625</v>
      </c>
      <c r="I301" s="186"/>
      <c r="J301" s="98"/>
      <c r="K301" s="136">
        <f t="shared" si="21"/>
        <v>130.81</v>
      </c>
      <c r="P301" s="4" t="s">
        <v>808</v>
      </c>
    </row>
    <row r="302" spans="1:25" hidden="1" x14ac:dyDescent="0.25">
      <c r="A302" s="151">
        <v>2020</v>
      </c>
      <c r="B302" s="151" t="s">
        <v>176</v>
      </c>
      <c r="C302" s="215">
        <v>248</v>
      </c>
      <c r="D302" s="98"/>
      <c r="E302" s="204" t="s">
        <v>770</v>
      </c>
      <c r="F302" s="98"/>
      <c r="G302" s="205">
        <v>2867</v>
      </c>
      <c r="H302" s="156" t="s">
        <v>667</v>
      </c>
      <c r="I302" s="98"/>
      <c r="J302" s="98"/>
      <c r="K302" s="180">
        <v>0</v>
      </c>
    </row>
    <row r="303" spans="1:25" ht="23.25" hidden="1" x14ac:dyDescent="0.25">
      <c r="A303" s="96">
        <v>2020</v>
      </c>
      <c r="B303" s="96" t="s">
        <v>176</v>
      </c>
      <c r="C303" s="100">
        <v>360</v>
      </c>
      <c r="D303" s="186"/>
      <c r="E303" s="218" t="s">
        <v>810</v>
      </c>
      <c r="F303" s="186"/>
      <c r="G303" s="99">
        <v>10782.83</v>
      </c>
      <c r="H303" s="133" t="s">
        <v>625</v>
      </c>
      <c r="I303" s="186"/>
      <c r="J303" s="98"/>
      <c r="K303" s="136">
        <f t="shared" si="21"/>
        <v>10782.83</v>
      </c>
      <c r="P303" s="4" t="s">
        <v>794</v>
      </c>
    </row>
    <row r="304" spans="1:25" hidden="1" x14ac:dyDescent="0.25">
      <c r="A304" s="96">
        <v>2020</v>
      </c>
      <c r="B304" s="96" t="s">
        <v>182</v>
      </c>
      <c r="C304" s="100"/>
      <c r="D304" s="186"/>
      <c r="E304" s="216" t="s">
        <v>183</v>
      </c>
      <c r="F304" s="186"/>
      <c r="G304" s="99">
        <v>22885</v>
      </c>
      <c r="H304" s="133" t="s">
        <v>656</v>
      </c>
      <c r="I304" s="186"/>
      <c r="J304" s="98"/>
      <c r="K304" s="136">
        <v>479.56</v>
      </c>
      <c r="W304" s="223"/>
      <c r="X304" s="105" t="s">
        <v>771</v>
      </c>
      <c r="Y304" s="228">
        <v>87187398</v>
      </c>
    </row>
    <row r="305" spans="1:25" hidden="1" x14ac:dyDescent="0.25">
      <c r="A305" s="96">
        <v>2021</v>
      </c>
      <c r="B305" s="96" t="s">
        <v>48</v>
      </c>
      <c r="C305" s="100">
        <v>414</v>
      </c>
      <c r="E305" s="229" t="s">
        <v>49</v>
      </c>
      <c r="G305" s="99">
        <v>562625</v>
      </c>
      <c r="H305" s="133" t="s">
        <v>625</v>
      </c>
      <c r="K305" s="136">
        <f>G305</f>
        <v>562625</v>
      </c>
      <c r="W305" s="223"/>
      <c r="X305" s="105"/>
      <c r="Y305" s="228"/>
    </row>
    <row r="306" spans="1:25" hidden="1" x14ac:dyDescent="0.25">
      <c r="A306" s="96">
        <v>2021</v>
      </c>
      <c r="B306" s="96" t="s">
        <v>54</v>
      </c>
      <c r="C306" s="100">
        <v>414</v>
      </c>
      <c r="E306" s="229" t="s">
        <v>811</v>
      </c>
      <c r="G306" s="99">
        <v>254646</v>
      </c>
      <c r="H306" s="133" t="s">
        <v>625</v>
      </c>
      <c r="K306" s="136">
        <f>G306</f>
        <v>254646</v>
      </c>
      <c r="W306" s="223"/>
      <c r="X306" s="105"/>
      <c r="Y306" s="228"/>
    </row>
    <row r="307" spans="1:25" hidden="1" x14ac:dyDescent="0.25">
      <c r="A307" s="96">
        <v>2021</v>
      </c>
      <c r="B307" s="96" t="s">
        <v>56</v>
      </c>
      <c r="C307" s="100">
        <v>36</v>
      </c>
      <c r="E307" s="216" t="s">
        <v>812</v>
      </c>
      <c r="G307" s="99">
        <v>3810</v>
      </c>
      <c r="H307" s="133" t="s">
        <v>625</v>
      </c>
      <c r="K307" s="136">
        <f>G307</f>
        <v>3810</v>
      </c>
      <c r="W307" s="223"/>
      <c r="X307" s="105"/>
      <c r="Y307" s="228"/>
    </row>
    <row r="308" spans="1:25" hidden="1" x14ac:dyDescent="0.25">
      <c r="A308" s="96">
        <v>2021</v>
      </c>
      <c r="B308" s="96" t="s">
        <v>68</v>
      </c>
      <c r="C308" s="100">
        <v>12</v>
      </c>
      <c r="E308" s="216" t="s">
        <v>683</v>
      </c>
      <c r="G308" s="99">
        <v>3236.4</v>
      </c>
      <c r="H308" s="133" t="s">
        <v>625</v>
      </c>
      <c r="K308" s="136">
        <f t="shared" ref="K308:K371" si="22">G308</f>
        <v>3236.4</v>
      </c>
      <c r="P308" s="4" t="s">
        <v>636</v>
      </c>
      <c r="S308" t="s">
        <v>631</v>
      </c>
      <c r="U308" s="4" t="s">
        <v>637</v>
      </c>
      <c r="W308" s="223"/>
      <c r="X308" s="105"/>
      <c r="Y308" s="228"/>
    </row>
    <row r="309" spans="1:25" hidden="1" x14ac:dyDescent="0.25">
      <c r="A309" s="96">
        <v>2021</v>
      </c>
      <c r="B309" s="96" t="s">
        <v>68</v>
      </c>
      <c r="C309" s="100">
        <v>49</v>
      </c>
      <c r="E309" s="216" t="s">
        <v>683</v>
      </c>
      <c r="G309" s="99">
        <v>3236.4</v>
      </c>
      <c r="H309" s="133" t="s">
        <v>625</v>
      </c>
      <c r="K309" s="136">
        <f t="shared" si="22"/>
        <v>3236.4</v>
      </c>
      <c r="P309" s="4" t="s">
        <v>636</v>
      </c>
      <c r="S309" t="s">
        <v>631</v>
      </c>
      <c r="U309" s="4" t="s">
        <v>637</v>
      </c>
      <c r="W309" s="223"/>
      <c r="X309" s="105"/>
      <c r="Y309" s="228"/>
    </row>
    <row r="310" spans="1:25" hidden="1" x14ac:dyDescent="0.25">
      <c r="A310" s="96">
        <v>2021</v>
      </c>
      <c r="B310" s="96" t="s">
        <v>68</v>
      </c>
      <c r="C310" s="100">
        <v>96</v>
      </c>
      <c r="E310" s="216" t="s">
        <v>683</v>
      </c>
      <c r="G310" s="99">
        <v>2923.2</v>
      </c>
      <c r="H310" s="133" t="s">
        <v>625</v>
      </c>
      <c r="K310" s="136">
        <f t="shared" si="22"/>
        <v>2923.2</v>
      </c>
      <c r="P310" s="4" t="s">
        <v>636</v>
      </c>
      <c r="S310" t="s">
        <v>631</v>
      </c>
      <c r="U310" s="4" t="s">
        <v>637</v>
      </c>
      <c r="W310" s="223"/>
      <c r="X310" s="105"/>
      <c r="Y310" s="228"/>
    </row>
    <row r="311" spans="1:25" hidden="1" x14ac:dyDescent="0.25">
      <c r="A311" s="96">
        <v>2021</v>
      </c>
      <c r="B311" s="96" t="s">
        <v>68</v>
      </c>
      <c r="C311" s="100">
        <v>117</v>
      </c>
      <c r="E311" s="216" t="s">
        <v>683</v>
      </c>
      <c r="G311" s="99">
        <f>G308</f>
        <v>3236.4</v>
      </c>
      <c r="H311" s="133" t="s">
        <v>625</v>
      </c>
      <c r="K311" s="136">
        <f t="shared" si="22"/>
        <v>3236.4</v>
      </c>
      <c r="P311" s="4" t="s">
        <v>636</v>
      </c>
      <c r="S311" t="s">
        <v>631</v>
      </c>
      <c r="U311" s="4" t="s">
        <v>637</v>
      </c>
      <c r="W311" s="223"/>
      <c r="X311" s="105"/>
      <c r="Y311" s="228"/>
    </row>
    <row r="312" spans="1:25" hidden="1" x14ac:dyDescent="0.25">
      <c r="A312" s="96">
        <v>2021</v>
      </c>
      <c r="B312" s="96" t="s">
        <v>68</v>
      </c>
      <c r="C312" s="100">
        <v>155</v>
      </c>
      <c r="E312" s="216" t="s">
        <v>683</v>
      </c>
      <c r="G312" s="99">
        <v>3132</v>
      </c>
      <c r="H312" s="133" t="s">
        <v>625</v>
      </c>
      <c r="K312" s="136">
        <f t="shared" si="22"/>
        <v>3132</v>
      </c>
      <c r="P312" s="4" t="s">
        <v>636</v>
      </c>
      <c r="S312" t="s">
        <v>631</v>
      </c>
      <c r="U312" s="4" t="s">
        <v>637</v>
      </c>
      <c r="W312" s="223"/>
      <c r="X312" s="105"/>
      <c r="Y312" s="228"/>
    </row>
    <row r="313" spans="1:25" hidden="1" x14ac:dyDescent="0.25">
      <c r="A313" s="96">
        <v>2021</v>
      </c>
      <c r="B313" s="96" t="s">
        <v>68</v>
      </c>
      <c r="C313" s="100">
        <v>210</v>
      </c>
      <c r="E313" s="216" t="s">
        <v>683</v>
      </c>
      <c r="G313" s="99">
        <v>3236.4</v>
      </c>
      <c r="H313" s="133" t="s">
        <v>625</v>
      </c>
      <c r="K313" s="136">
        <f t="shared" si="22"/>
        <v>3236.4</v>
      </c>
      <c r="P313" s="4" t="s">
        <v>636</v>
      </c>
      <c r="S313" t="s">
        <v>631</v>
      </c>
      <c r="U313" s="4" t="s">
        <v>637</v>
      </c>
      <c r="W313" s="223"/>
      <c r="X313" s="105"/>
      <c r="Y313" s="228"/>
    </row>
    <row r="314" spans="1:25" hidden="1" x14ac:dyDescent="0.25">
      <c r="A314" s="96">
        <v>2021</v>
      </c>
      <c r="B314" s="96" t="s">
        <v>68</v>
      </c>
      <c r="C314" s="100">
        <v>217</v>
      </c>
      <c r="E314" s="216" t="s">
        <v>683</v>
      </c>
      <c r="G314" s="99">
        <v>3132</v>
      </c>
      <c r="H314" s="133" t="s">
        <v>625</v>
      </c>
      <c r="K314" s="136">
        <f t="shared" si="22"/>
        <v>3132</v>
      </c>
      <c r="P314" s="4" t="s">
        <v>636</v>
      </c>
      <c r="S314" t="s">
        <v>631</v>
      </c>
      <c r="U314" s="4" t="s">
        <v>637</v>
      </c>
      <c r="W314" s="223"/>
      <c r="X314" s="105"/>
      <c r="Y314" s="228"/>
    </row>
    <row r="315" spans="1:25" hidden="1" x14ac:dyDescent="0.25">
      <c r="A315" s="96">
        <v>2021</v>
      </c>
      <c r="B315" s="96" t="s">
        <v>68</v>
      </c>
      <c r="C315" s="100">
        <v>263</v>
      </c>
      <c r="E315" s="216" t="s">
        <v>683</v>
      </c>
      <c r="G315" s="99">
        <v>3236.4</v>
      </c>
      <c r="H315" s="133" t="s">
        <v>625</v>
      </c>
      <c r="K315" s="136">
        <f t="shared" si="22"/>
        <v>3236.4</v>
      </c>
      <c r="P315" s="4" t="s">
        <v>636</v>
      </c>
      <c r="S315" t="s">
        <v>631</v>
      </c>
      <c r="U315" s="4" t="s">
        <v>637</v>
      </c>
      <c r="W315" s="223"/>
      <c r="X315" s="105"/>
      <c r="Y315" s="228"/>
    </row>
    <row r="316" spans="1:25" hidden="1" x14ac:dyDescent="0.25">
      <c r="A316" s="96">
        <v>2021</v>
      </c>
      <c r="B316" s="96" t="s">
        <v>68</v>
      </c>
      <c r="C316" s="100">
        <v>263</v>
      </c>
      <c r="E316" s="216" t="s">
        <v>813</v>
      </c>
      <c r="G316" s="99">
        <v>3344</v>
      </c>
      <c r="H316" s="133" t="s">
        <v>625</v>
      </c>
      <c r="K316" s="136">
        <f t="shared" si="22"/>
        <v>3344</v>
      </c>
      <c r="W316" s="223"/>
      <c r="X316" s="105"/>
      <c r="Y316" s="228"/>
    </row>
    <row r="317" spans="1:25" hidden="1" x14ac:dyDescent="0.25">
      <c r="A317" s="96">
        <v>2021</v>
      </c>
      <c r="B317" s="96" t="s">
        <v>68</v>
      </c>
      <c r="C317" s="100">
        <v>286</v>
      </c>
      <c r="E317" s="216" t="s">
        <v>683</v>
      </c>
      <c r="G317" s="99">
        <v>3236.4</v>
      </c>
      <c r="H317" s="133" t="s">
        <v>625</v>
      </c>
      <c r="K317" s="136">
        <f t="shared" si="22"/>
        <v>3236.4</v>
      </c>
      <c r="P317" s="4" t="s">
        <v>636</v>
      </c>
      <c r="S317" t="s">
        <v>631</v>
      </c>
      <c r="U317" s="4" t="s">
        <v>637</v>
      </c>
      <c r="W317" s="223"/>
      <c r="X317" s="105"/>
      <c r="Y317" s="228"/>
    </row>
    <row r="318" spans="1:25" hidden="1" x14ac:dyDescent="0.25">
      <c r="A318" s="96">
        <v>2021</v>
      </c>
      <c r="B318" s="96" t="s">
        <v>68</v>
      </c>
      <c r="C318" s="100">
        <v>327</v>
      </c>
      <c r="E318" s="216" t="s">
        <v>683</v>
      </c>
      <c r="G318" s="99">
        <v>3132</v>
      </c>
      <c r="H318" s="133" t="s">
        <v>625</v>
      </c>
      <c r="K318" s="136">
        <f t="shared" si="22"/>
        <v>3132</v>
      </c>
      <c r="P318" s="4" t="s">
        <v>636</v>
      </c>
      <c r="S318" t="s">
        <v>631</v>
      </c>
      <c r="U318" s="4" t="s">
        <v>637</v>
      </c>
      <c r="W318" s="223"/>
      <c r="X318" s="105"/>
      <c r="Y318" s="228"/>
    </row>
    <row r="319" spans="1:25" hidden="1" x14ac:dyDescent="0.25">
      <c r="A319" s="96">
        <v>2021</v>
      </c>
      <c r="B319" s="96" t="s">
        <v>68</v>
      </c>
      <c r="C319" s="100">
        <v>345</v>
      </c>
      <c r="E319" s="216" t="s">
        <v>716</v>
      </c>
      <c r="G319" s="99">
        <v>42208.3</v>
      </c>
      <c r="H319" s="133" t="s">
        <v>625</v>
      </c>
      <c r="K319" s="136">
        <f t="shared" si="22"/>
        <v>42208.3</v>
      </c>
      <c r="W319" s="223"/>
      <c r="X319" s="105"/>
      <c r="Y319" s="228"/>
    </row>
    <row r="320" spans="1:25" hidden="1" x14ac:dyDescent="0.25">
      <c r="A320" s="96">
        <v>2021</v>
      </c>
      <c r="B320" s="96" t="s">
        <v>68</v>
      </c>
      <c r="C320" s="100">
        <v>345</v>
      </c>
      <c r="E320" s="216" t="s">
        <v>683</v>
      </c>
      <c r="G320" s="99">
        <v>3236.4</v>
      </c>
      <c r="H320" s="133" t="s">
        <v>625</v>
      </c>
      <c r="K320" s="136">
        <f t="shared" si="22"/>
        <v>3236.4</v>
      </c>
      <c r="P320" s="4" t="s">
        <v>636</v>
      </c>
      <c r="S320" t="s">
        <v>631</v>
      </c>
      <c r="U320" s="4" t="s">
        <v>637</v>
      </c>
      <c r="W320" s="223"/>
      <c r="X320" s="105"/>
      <c r="Y320" s="228"/>
    </row>
    <row r="321" spans="1:25" hidden="1" x14ac:dyDescent="0.25">
      <c r="A321" s="96">
        <v>2021</v>
      </c>
      <c r="B321" s="96" t="s">
        <v>68</v>
      </c>
      <c r="C321" s="100">
        <v>383</v>
      </c>
      <c r="E321" s="216" t="s">
        <v>814</v>
      </c>
      <c r="F321" s="230"/>
      <c r="G321" s="99">
        <v>5000</v>
      </c>
      <c r="H321" s="133" t="s">
        <v>625</v>
      </c>
      <c r="I321" s="230"/>
      <c r="J321" s="216"/>
      <c r="K321" s="136">
        <f t="shared" si="22"/>
        <v>5000</v>
      </c>
      <c r="L321" s="230"/>
      <c r="M321" s="216"/>
      <c r="N321" s="216"/>
      <c r="O321" s="231"/>
      <c r="W321" s="223"/>
      <c r="X321" s="105"/>
      <c r="Y321" s="228"/>
    </row>
    <row r="322" spans="1:25" hidden="1" x14ac:dyDescent="0.25">
      <c r="A322" s="96">
        <v>2021</v>
      </c>
      <c r="B322" s="96" t="s">
        <v>68</v>
      </c>
      <c r="C322" s="100">
        <v>383</v>
      </c>
      <c r="E322" s="216" t="s">
        <v>815</v>
      </c>
      <c r="F322" s="230"/>
      <c r="G322" s="99">
        <v>2561.1</v>
      </c>
      <c r="H322" s="133" t="s">
        <v>625</v>
      </c>
      <c r="I322" s="230"/>
      <c r="J322" s="216"/>
      <c r="K322" s="136">
        <f t="shared" si="22"/>
        <v>2561.1</v>
      </c>
      <c r="L322" s="230"/>
      <c r="M322" s="216"/>
      <c r="N322" s="216"/>
      <c r="O322" s="231"/>
      <c r="W322" s="223"/>
      <c r="X322" s="105"/>
      <c r="Y322" s="228"/>
    </row>
    <row r="323" spans="1:25" hidden="1" x14ac:dyDescent="0.25">
      <c r="A323" s="96">
        <v>2021</v>
      </c>
      <c r="B323" s="96" t="s">
        <v>68</v>
      </c>
      <c r="C323" s="100">
        <v>383</v>
      </c>
      <c r="E323" s="216" t="s">
        <v>815</v>
      </c>
      <c r="G323" s="99">
        <v>3812.85</v>
      </c>
      <c r="H323" s="133" t="s">
        <v>625</v>
      </c>
      <c r="K323" s="136">
        <f t="shared" si="22"/>
        <v>3812.85</v>
      </c>
      <c r="W323" s="223"/>
      <c r="X323" s="105"/>
      <c r="Y323" s="228"/>
    </row>
    <row r="324" spans="1:25" hidden="1" x14ac:dyDescent="0.25">
      <c r="A324" s="96">
        <v>2021</v>
      </c>
      <c r="B324" s="96" t="s">
        <v>68</v>
      </c>
      <c r="C324" s="100">
        <v>383</v>
      </c>
      <c r="E324" s="216" t="s">
        <v>812</v>
      </c>
      <c r="G324" s="99">
        <v>1897866.59</v>
      </c>
      <c r="H324" s="133" t="s">
        <v>625</v>
      </c>
      <c r="K324" s="136">
        <f t="shared" si="22"/>
        <v>1897866.59</v>
      </c>
      <c r="W324" s="223"/>
      <c r="X324" s="105"/>
      <c r="Y324" s="228"/>
    </row>
    <row r="325" spans="1:25" hidden="1" x14ac:dyDescent="0.25">
      <c r="A325" s="96">
        <v>2021</v>
      </c>
      <c r="B325" s="96" t="s">
        <v>68</v>
      </c>
      <c r="C325" s="100">
        <v>408</v>
      </c>
      <c r="E325" s="216" t="s">
        <v>693</v>
      </c>
      <c r="G325" s="99">
        <v>2698.75</v>
      </c>
      <c r="H325" s="133" t="s">
        <v>625</v>
      </c>
      <c r="K325" s="136">
        <f t="shared" si="22"/>
        <v>2698.75</v>
      </c>
      <c r="W325" s="223"/>
      <c r="X325" s="105"/>
      <c r="Y325" s="228"/>
    </row>
    <row r="326" spans="1:25" hidden="1" x14ac:dyDescent="0.25">
      <c r="A326" s="96">
        <v>2021</v>
      </c>
      <c r="B326" s="96" t="s">
        <v>68</v>
      </c>
      <c r="C326" s="100">
        <v>408</v>
      </c>
      <c r="E326" s="203" t="s">
        <v>757</v>
      </c>
      <c r="G326" s="99">
        <v>4148.7700000000004</v>
      </c>
      <c r="H326" s="133" t="s">
        <v>625</v>
      </c>
      <c r="K326" s="136">
        <f t="shared" si="22"/>
        <v>4148.7700000000004</v>
      </c>
      <c r="W326" s="223"/>
      <c r="X326" s="105"/>
      <c r="Y326" s="228"/>
    </row>
    <row r="327" spans="1:25" hidden="1" x14ac:dyDescent="0.25">
      <c r="A327" s="96">
        <v>2021</v>
      </c>
      <c r="B327" s="96" t="s">
        <v>68</v>
      </c>
      <c r="C327" s="100">
        <v>408</v>
      </c>
      <c r="E327" s="216" t="s">
        <v>694</v>
      </c>
      <c r="G327" s="99">
        <v>3155.57</v>
      </c>
      <c r="H327" s="133" t="s">
        <v>625</v>
      </c>
      <c r="K327" s="136">
        <f t="shared" si="22"/>
        <v>3155.57</v>
      </c>
      <c r="W327" s="223"/>
      <c r="X327" s="105"/>
      <c r="Y327" s="228"/>
    </row>
    <row r="328" spans="1:25" hidden="1" x14ac:dyDescent="0.25">
      <c r="A328" s="96">
        <v>2021</v>
      </c>
      <c r="B328" s="96" t="s">
        <v>68</v>
      </c>
      <c r="C328" s="100">
        <v>408</v>
      </c>
      <c r="E328" s="216" t="s">
        <v>751</v>
      </c>
      <c r="G328" s="99">
        <v>4106</v>
      </c>
      <c r="H328" s="133" t="s">
        <v>625</v>
      </c>
      <c r="K328" s="136">
        <f t="shared" si="22"/>
        <v>4106</v>
      </c>
      <c r="W328" s="223"/>
      <c r="X328" s="105"/>
      <c r="Y328" s="228"/>
    </row>
    <row r="329" spans="1:25" hidden="1" x14ac:dyDescent="0.25">
      <c r="A329" s="96">
        <v>2021</v>
      </c>
      <c r="B329" s="96" t="s">
        <v>68</v>
      </c>
      <c r="C329" s="100">
        <v>408</v>
      </c>
      <c r="E329" s="216" t="s">
        <v>751</v>
      </c>
      <c r="G329" s="99">
        <v>12173.13</v>
      </c>
      <c r="H329" s="133" t="s">
        <v>625</v>
      </c>
      <c r="K329" s="136">
        <f t="shared" si="22"/>
        <v>12173.13</v>
      </c>
      <c r="W329" s="223"/>
      <c r="X329" s="105"/>
      <c r="Y329" s="228"/>
    </row>
    <row r="330" spans="1:25" hidden="1" x14ac:dyDescent="0.25">
      <c r="A330" s="96">
        <v>2021</v>
      </c>
      <c r="B330" s="96" t="s">
        <v>68</v>
      </c>
      <c r="C330" s="100">
        <v>408</v>
      </c>
      <c r="E330" s="216" t="s">
        <v>816</v>
      </c>
      <c r="G330" s="99">
        <v>682286.89</v>
      </c>
      <c r="H330" s="133" t="s">
        <v>625</v>
      </c>
      <c r="K330" s="136">
        <f t="shared" si="22"/>
        <v>682286.89</v>
      </c>
      <c r="W330" s="223"/>
      <c r="X330" s="105"/>
      <c r="Y330" s="228"/>
    </row>
    <row r="331" spans="1:25" hidden="1" x14ac:dyDescent="0.25">
      <c r="A331" s="96">
        <v>2021</v>
      </c>
      <c r="B331" s="96" t="s">
        <v>68</v>
      </c>
      <c r="C331" s="100">
        <v>408</v>
      </c>
      <c r="E331" s="203" t="s">
        <v>756</v>
      </c>
      <c r="G331" s="99">
        <v>2698.75</v>
      </c>
      <c r="H331" s="133" t="s">
        <v>625</v>
      </c>
      <c r="K331" s="136">
        <f t="shared" si="22"/>
        <v>2698.75</v>
      </c>
      <c r="W331" s="223"/>
      <c r="X331" s="105"/>
      <c r="Y331" s="228"/>
    </row>
    <row r="332" spans="1:25" hidden="1" x14ac:dyDescent="0.25">
      <c r="A332" s="96">
        <v>2021</v>
      </c>
      <c r="B332" s="96" t="s">
        <v>68</v>
      </c>
      <c r="C332" s="100">
        <v>408</v>
      </c>
      <c r="E332" s="216" t="s">
        <v>697</v>
      </c>
      <c r="G332" s="99">
        <f>G331</f>
        <v>2698.75</v>
      </c>
      <c r="H332" s="133" t="s">
        <v>625</v>
      </c>
      <c r="K332" s="136">
        <f t="shared" si="22"/>
        <v>2698.75</v>
      </c>
      <c r="W332" s="223"/>
      <c r="X332" s="105"/>
      <c r="Y332" s="228"/>
    </row>
    <row r="333" spans="1:25" hidden="1" x14ac:dyDescent="0.25">
      <c r="A333" s="96">
        <v>2021</v>
      </c>
      <c r="B333" s="96" t="s">
        <v>68</v>
      </c>
      <c r="C333" s="100">
        <v>408</v>
      </c>
      <c r="E333" s="216" t="s">
        <v>817</v>
      </c>
      <c r="G333" s="99">
        <v>3155.57</v>
      </c>
      <c r="H333" s="133" t="s">
        <v>625</v>
      </c>
      <c r="K333" s="136">
        <f t="shared" si="22"/>
        <v>3155.57</v>
      </c>
      <c r="W333" s="223"/>
      <c r="X333" s="105"/>
      <c r="Y333" s="228"/>
    </row>
    <row r="334" spans="1:25" hidden="1" x14ac:dyDescent="0.25">
      <c r="A334" s="96">
        <v>2021</v>
      </c>
      <c r="B334" s="96" t="s">
        <v>68</v>
      </c>
      <c r="C334" s="100">
        <v>408</v>
      </c>
      <c r="E334" s="216" t="s">
        <v>758</v>
      </c>
      <c r="G334" s="99">
        <v>2698.75</v>
      </c>
      <c r="H334" s="133" t="s">
        <v>625</v>
      </c>
      <c r="K334" s="136">
        <f t="shared" si="22"/>
        <v>2698.75</v>
      </c>
      <c r="W334" s="223"/>
      <c r="X334" s="105"/>
      <c r="Y334" s="228"/>
    </row>
    <row r="335" spans="1:25" hidden="1" x14ac:dyDescent="0.25">
      <c r="A335" s="96">
        <v>2021</v>
      </c>
      <c r="B335" s="96" t="s">
        <v>68</v>
      </c>
      <c r="C335" s="100">
        <v>408</v>
      </c>
      <c r="E335" s="216" t="s">
        <v>758</v>
      </c>
      <c r="G335" s="99">
        <f>G334</f>
        <v>2698.75</v>
      </c>
      <c r="H335" s="133" t="s">
        <v>625</v>
      </c>
      <c r="K335" s="136">
        <f t="shared" si="22"/>
        <v>2698.75</v>
      </c>
      <c r="W335" s="223"/>
      <c r="X335" s="105"/>
      <c r="Y335" s="228"/>
    </row>
    <row r="336" spans="1:25" hidden="1" x14ac:dyDescent="0.25">
      <c r="A336" s="96">
        <v>2021</v>
      </c>
      <c r="B336" s="96" t="s">
        <v>68</v>
      </c>
      <c r="C336" s="100">
        <v>408</v>
      </c>
      <c r="E336" s="203" t="s">
        <v>759</v>
      </c>
      <c r="G336" s="99">
        <f>G335</f>
        <v>2698.75</v>
      </c>
      <c r="H336" s="133" t="s">
        <v>625</v>
      </c>
      <c r="K336" s="136">
        <f t="shared" si="22"/>
        <v>2698.75</v>
      </c>
      <c r="W336" s="223"/>
      <c r="X336" s="105"/>
      <c r="Y336" s="228"/>
    </row>
    <row r="337" spans="1:25" hidden="1" x14ac:dyDescent="0.25">
      <c r="A337" s="96">
        <v>2021</v>
      </c>
      <c r="B337" s="96" t="s">
        <v>68</v>
      </c>
      <c r="C337" s="100">
        <v>408</v>
      </c>
      <c r="E337" s="216" t="s">
        <v>760</v>
      </c>
      <c r="G337" s="99">
        <v>11193.73</v>
      </c>
      <c r="H337" s="133" t="s">
        <v>625</v>
      </c>
      <c r="K337" s="136">
        <f t="shared" si="22"/>
        <v>11193.73</v>
      </c>
      <c r="W337" s="223"/>
      <c r="X337" s="105"/>
      <c r="Y337" s="228"/>
    </row>
    <row r="338" spans="1:25" hidden="1" x14ac:dyDescent="0.25">
      <c r="A338" s="96">
        <v>2021</v>
      </c>
      <c r="B338" s="96" t="s">
        <v>68</v>
      </c>
      <c r="C338" s="100">
        <v>408</v>
      </c>
      <c r="E338" s="216" t="s">
        <v>700</v>
      </c>
      <c r="G338" s="99">
        <v>13699.36</v>
      </c>
      <c r="H338" s="133" t="s">
        <v>625</v>
      </c>
      <c r="K338" s="136">
        <f t="shared" si="22"/>
        <v>13699.36</v>
      </c>
      <c r="W338" s="223"/>
      <c r="X338" s="105"/>
      <c r="Y338" s="228"/>
    </row>
    <row r="339" spans="1:25" hidden="1" x14ac:dyDescent="0.25">
      <c r="A339" s="96">
        <v>2021</v>
      </c>
      <c r="B339" s="96" t="s">
        <v>68</v>
      </c>
      <c r="C339" s="100">
        <v>408</v>
      </c>
      <c r="E339" s="216" t="s">
        <v>700</v>
      </c>
      <c r="G339" s="99">
        <v>80368.41</v>
      </c>
      <c r="H339" s="133" t="s">
        <v>625</v>
      </c>
      <c r="K339" s="136">
        <f t="shared" si="22"/>
        <v>80368.41</v>
      </c>
      <c r="W339" s="223"/>
      <c r="X339" s="105"/>
      <c r="Y339" s="228"/>
    </row>
    <row r="340" spans="1:25" hidden="1" x14ac:dyDescent="0.25">
      <c r="A340" s="96">
        <v>2021</v>
      </c>
      <c r="B340" s="96" t="s">
        <v>68</v>
      </c>
      <c r="C340" s="100">
        <v>408</v>
      </c>
      <c r="E340" s="216" t="s">
        <v>761</v>
      </c>
      <c r="G340" s="99">
        <v>2698.75</v>
      </c>
      <c r="H340" s="133" t="s">
        <v>625</v>
      </c>
      <c r="K340" s="136">
        <f t="shared" si="22"/>
        <v>2698.75</v>
      </c>
      <c r="W340" s="223"/>
      <c r="X340" s="105"/>
      <c r="Y340" s="228"/>
    </row>
    <row r="341" spans="1:25" hidden="1" x14ac:dyDescent="0.25">
      <c r="A341" s="96">
        <v>2021</v>
      </c>
      <c r="B341" s="96" t="s">
        <v>68</v>
      </c>
      <c r="C341" s="100">
        <v>408</v>
      </c>
      <c r="E341" s="216" t="s">
        <v>704</v>
      </c>
      <c r="G341" s="99">
        <f>G340</f>
        <v>2698.75</v>
      </c>
      <c r="H341" s="133" t="s">
        <v>625</v>
      </c>
      <c r="K341" s="136">
        <f t="shared" si="22"/>
        <v>2698.75</v>
      </c>
      <c r="W341" s="223"/>
      <c r="X341" s="105"/>
      <c r="Y341" s="228"/>
    </row>
    <row r="342" spans="1:25" hidden="1" x14ac:dyDescent="0.25">
      <c r="A342" s="96">
        <v>2021</v>
      </c>
      <c r="B342" s="96" t="s">
        <v>68</v>
      </c>
      <c r="C342" s="100">
        <v>408</v>
      </c>
      <c r="E342" s="216" t="s">
        <v>704</v>
      </c>
      <c r="G342" s="99">
        <v>3468.79</v>
      </c>
      <c r="H342" s="133" t="s">
        <v>625</v>
      </c>
      <c r="K342" s="136">
        <f t="shared" si="22"/>
        <v>3468.79</v>
      </c>
      <c r="W342" s="223"/>
      <c r="X342" s="105"/>
      <c r="Y342" s="228"/>
    </row>
    <row r="343" spans="1:25" hidden="1" x14ac:dyDescent="0.25">
      <c r="A343" s="96">
        <v>2021</v>
      </c>
      <c r="B343" s="96" t="s">
        <v>68</v>
      </c>
      <c r="C343" s="100">
        <v>408</v>
      </c>
      <c r="E343" s="216" t="s">
        <v>705</v>
      </c>
      <c r="G343" s="99">
        <v>4376.3100000000004</v>
      </c>
      <c r="H343" s="133" t="s">
        <v>625</v>
      </c>
      <c r="K343" s="136">
        <f t="shared" si="22"/>
        <v>4376.3100000000004</v>
      </c>
      <c r="W343" s="223"/>
      <c r="X343" s="105"/>
      <c r="Y343" s="228"/>
    </row>
    <row r="344" spans="1:25" hidden="1" x14ac:dyDescent="0.25">
      <c r="A344" s="96">
        <v>2021</v>
      </c>
      <c r="B344" s="96" t="s">
        <v>68</v>
      </c>
      <c r="C344" s="100">
        <v>408</v>
      </c>
      <c r="E344" s="216" t="s">
        <v>705</v>
      </c>
      <c r="G344" s="99">
        <v>9659.92</v>
      </c>
      <c r="H344" s="133" t="s">
        <v>625</v>
      </c>
      <c r="K344" s="136">
        <f t="shared" si="22"/>
        <v>9659.92</v>
      </c>
      <c r="W344" s="223"/>
      <c r="X344" s="105"/>
      <c r="Y344" s="228"/>
    </row>
    <row r="345" spans="1:25" hidden="1" x14ac:dyDescent="0.25">
      <c r="A345" s="96">
        <v>2021</v>
      </c>
      <c r="B345" s="96" t="s">
        <v>68</v>
      </c>
      <c r="C345" s="100">
        <v>408</v>
      </c>
      <c r="E345" s="216" t="s">
        <v>692</v>
      </c>
      <c r="G345" s="99">
        <v>2698.75</v>
      </c>
      <c r="H345" s="133" t="s">
        <v>625</v>
      </c>
      <c r="K345" s="136">
        <f t="shared" si="22"/>
        <v>2698.75</v>
      </c>
      <c r="W345" s="223"/>
      <c r="X345" s="105"/>
      <c r="Y345" s="228"/>
    </row>
    <row r="346" spans="1:25" hidden="1" x14ac:dyDescent="0.25">
      <c r="A346" s="96">
        <v>2021</v>
      </c>
      <c r="B346" s="96" t="s">
        <v>68</v>
      </c>
      <c r="C346" s="100">
        <v>408</v>
      </c>
      <c r="E346" s="216" t="s">
        <v>680</v>
      </c>
      <c r="G346" s="99">
        <f>G345</f>
        <v>2698.75</v>
      </c>
      <c r="H346" s="133" t="s">
        <v>625</v>
      </c>
      <c r="K346" s="136">
        <f t="shared" si="22"/>
        <v>2698.75</v>
      </c>
      <c r="W346" s="223"/>
      <c r="X346" s="105"/>
      <c r="Y346" s="228"/>
    </row>
    <row r="347" spans="1:25" hidden="1" x14ac:dyDescent="0.25">
      <c r="A347" s="96">
        <v>2021</v>
      </c>
      <c r="B347" s="96" t="s">
        <v>68</v>
      </c>
      <c r="C347" s="100">
        <v>408</v>
      </c>
      <c r="E347" s="216" t="s">
        <v>680</v>
      </c>
      <c r="G347" s="99">
        <f>G346</f>
        <v>2698.75</v>
      </c>
      <c r="H347" s="133" t="s">
        <v>625</v>
      </c>
      <c r="K347" s="136">
        <f t="shared" si="22"/>
        <v>2698.75</v>
      </c>
      <c r="W347" s="223"/>
      <c r="X347" s="105"/>
      <c r="Y347" s="228"/>
    </row>
    <row r="348" spans="1:25" hidden="1" x14ac:dyDescent="0.25">
      <c r="A348" s="96">
        <v>2021</v>
      </c>
      <c r="B348" s="96" t="s">
        <v>68</v>
      </c>
      <c r="C348" s="100">
        <v>408</v>
      </c>
      <c r="E348" s="216" t="s">
        <v>680</v>
      </c>
      <c r="G348" s="99">
        <f>G347</f>
        <v>2698.75</v>
      </c>
      <c r="H348" s="133" t="s">
        <v>625</v>
      </c>
      <c r="K348" s="136">
        <f t="shared" si="22"/>
        <v>2698.75</v>
      </c>
      <c r="W348" s="223"/>
      <c r="X348" s="105"/>
      <c r="Y348" s="228"/>
    </row>
    <row r="349" spans="1:25" hidden="1" x14ac:dyDescent="0.25">
      <c r="A349" s="96">
        <v>2021</v>
      </c>
      <c r="B349" s="96" t="s">
        <v>68</v>
      </c>
      <c r="C349" s="100">
        <v>408</v>
      </c>
      <c r="E349" s="216" t="s">
        <v>680</v>
      </c>
      <c r="G349" s="99">
        <v>211949.91</v>
      </c>
      <c r="H349" s="133" t="s">
        <v>625</v>
      </c>
      <c r="K349" s="136">
        <f t="shared" si="22"/>
        <v>211949.91</v>
      </c>
      <c r="W349" s="223"/>
      <c r="X349" s="105"/>
      <c r="Y349" s="228"/>
    </row>
    <row r="350" spans="1:25" hidden="1" x14ac:dyDescent="0.25">
      <c r="A350" s="96">
        <v>2021</v>
      </c>
      <c r="B350" s="96" t="s">
        <v>68</v>
      </c>
      <c r="C350" s="100">
        <v>408</v>
      </c>
      <c r="E350" s="216" t="s">
        <v>689</v>
      </c>
      <c r="G350" s="99">
        <v>8979.9500000000007</v>
      </c>
      <c r="H350" s="133" t="s">
        <v>625</v>
      </c>
      <c r="K350" s="136">
        <f t="shared" si="22"/>
        <v>8979.9500000000007</v>
      </c>
      <c r="W350" s="223"/>
      <c r="X350" s="105"/>
      <c r="Y350" s="228"/>
    </row>
    <row r="351" spans="1:25" hidden="1" x14ac:dyDescent="0.25">
      <c r="A351" s="96">
        <v>2021</v>
      </c>
      <c r="B351" s="96" t="s">
        <v>68</v>
      </c>
      <c r="C351" s="100">
        <v>408</v>
      </c>
      <c r="E351" s="216" t="s">
        <v>707</v>
      </c>
      <c r="G351" s="99">
        <v>81891.38</v>
      </c>
      <c r="H351" s="133" t="s">
        <v>625</v>
      </c>
      <c r="K351" s="136">
        <f t="shared" si="22"/>
        <v>81891.38</v>
      </c>
    </row>
    <row r="352" spans="1:25" hidden="1" x14ac:dyDescent="0.25">
      <c r="A352" s="96">
        <v>2021</v>
      </c>
      <c r="B352" s="96" t="s">
        <v>68</v>
      </c>
      <c r="C352" s="100">
        <v>408</v>
      </c>
      <c r="E352" s="216" t="s">
        <v>685</v>
      </c>
      <c r="G352" s="99">
        <v>2923.17</v>
      </c>
      <c r="H352" s="133" t="s">
        <v>625</v>
      </c>
      <c r="K352" s="136">
        <f t="shared" si="22"/>
        <v>2923.17</v>
      </c>
    </row>
    <row r="353" spans="1:11" hidden="1" x14ac:dyDescent="0.25">
      <c r="A353" s="96">
        <v>2021</v>
      </c>
      <c r="B353" s="96" t="s">
        <v>68</v>
      </c>
      <c r="C353" s="100">
        <v>408</v>
      </c>
      <c r="E353" s="216" t="s">
        <v>762</v>
      </c>
      <c r="G353" s="99">
        <v>2698.75</v>
      </c>
      <c r="H353" s="133" t="s">
        <v>625</v>
      </c>
      <c r="K353" s="136">
        <f t="shared" si="22"/>
        <v>2698.75</v>
      </c>
    </row>
    <row r="354" spans="1:11" hidden="1" x14ac:dyDescent="0.25">
      <c r="A354" s="96">
        <v>2021</v>
      </c>
      <c r="B354" s="96" t="s">
        <v>68</v>
      </c>
      <c r="C354" s="100">
        <v>408</v>
      </c>
      <c r="E354" s="216" t="s">
        <v>762</v>
      </c>
      <c r="G354" s="99">
        <f>G353</f>
        <v>2698.75</v>
      </c>
      <c r="H354" s="133" t="s">
        <v>625</v>
      </c>
      <c r="K354" s="136">
        <f t="shared" si="22"/>
        <v>2698.75</v>
      </c>
    </row>
    <row r="355" spans="1:11" hidden="1" x14ac:dyDescent="0.25">
      <c r="A355" s="96">
        <v>2021</v>
      </c>
      <c r="B355" s="96" t="s">
        <v>68</v>
      </c>
      <c r="C355" s="100">
        <v>408</v>
      </c>
      <c r="E355" s="216" t="s">
        <v>709</v>
      </c>
      <c r="G355" s="99">
        <v>2910.47</v>
      </c>
      <c r="H355" s="133" t="s">
        <v>625</v>
      </c>
      <c r="K355" s="136">
        <f t="shared" si="22"/>
        <v>2910.47</v>
      </c>
    </row>
    <row r="356" spans="1:11" hidden="1" x14ac:dyDescent="0.25">
      <c r="A356" s="96">
        <v>2021</v>
      </c>
      <c r="B356" s="96" t="s">
        <v>68</v>
      </c>
      <c r="C356" s="100">
        <v>408</v>
      </c>
      <c r="E356" s="216" t="s">
        <v>763</v>
      </c>
      <c r="G356" s="232">
        <f>G354</f>
        <v>2698.75</v>
      </c>
      <c r="H356" s="133" t="s">
        <v>625</v>
      </c>
      <c r="K356" s="136">
        <f t="shared" si="22"/>
        <v>2698.75</v>
      </c>
    </row>
    <row r="357" spans="1:11" hidden="1" x14ac:dyDescent="0.25">
      <c r="A357" s="96">
        <v>2021</v>
      </c>
      <c r="B357" s="96" t="s">
        <v>68</v>
      </c>
      <c r="C357" s="100">
        <v>408</v>
      </c>
      <c r="E357" s="216" t="s">
        <v>711</v>
      </c>
      <c r="G357" s="99">
        <v>5977.46</v>
      </c>
      <c r="H357" s="133" t="s">
        <v>625</v>
      </c>
      <c r="K357" s="136">
        <f t="shared" si="22"/>
        <v>5977.46</v>
      </c>
    </row>
    <row r="358" spans="1:11" hidden="1" x14ac:dyDescent="0.25">
      <c r="A358" s="96">
        <v>2021</v>
      </c>
      <c r="B358" s="96" t="s">
        <v>68</v>
      </c>
      <c r="C358" s="100">
        <v>408</v>
      </c>
      <c r="E358" s="216" t="s">
        <v>711</v>
      </c>
      <c r="G358" s="99">
        <v>6784.77</v>
      </c>
      <c r="H358" s="133" t="s">
        <v>625</v>
      </c>
      <c r="K358" s="136">
        <f t="shared" si="22"/>
        <v>6784.77</v>
      </c>
    </row>
    <row r="359" spans="1:11" hidden="1" x14ac:dyDescent="0.25">
      <c r="A359" s="96">
        <v>2021</v>
      </c>
      <c r="B359" s="96" t="s">
        <v>68</v>
      </c>
      <c r="C359" s="100">
        <v>408</v>
      </c>
      <c r="E359" s="216" t="s">
        <v>712</v>
      </c>
      <c r="G359" s="99">
        <v>3155.57</v>
      </c>
      <c r="H359" s="133" t="s">
        <v>625</v>
      </c>
      <c r="K359" s="136">
        <f t="shared" si="22"/>
        <v>3155.57</v>
      </c>
    </row>
    <row r="360" spans="1:11" hidden="1" x14ac:dyDescent="0.25">
      <c r="A360" s="96">
        <v>2021</v>
      </c>
      <c r="B360" s="96" t="s">
        <v>68</v>
      </c>
      <c r="C360" s="100">
        <v>408</v>
      </c>
      <c r="E360" s="216" t="s">
        <v>713</v>
      </c>
      <c r="G360" s="99">
        <v>3155.57</v>
      </c>
      <c r="H360" s="133" t="s">
        <v>625</v>
      </c>
      <c r="K360" s="136">
        <f t="shared" si="22"/>
        <v>3155.57</v>
      </c>
    </row>
    <row r="361" spans="1:11" hidden="1" x14ac:dyDescent="0.25">
      <c r="A361" s="96">
        <v>2021</v>
      </c>
      <c r="B361" s="96" t="s">
        <v>68</v>
      </c>
      <c r="C361" s="100">
        <v>408</v>
      </c>
      <c r="E361" s="216" t="s">
        <v>714</v>
      </c>
      <c r="G361" s="99">
        <v>3155.57</v>
      </c>
      <c r="H361" s="133" t="s">
        <v>625</v>
      </c>
      <c r="K361" s="136">
        <f t="shared" si="22"/>
        <v>3155.57</v>
      </c>
    </row>
    <row r="362" spans="1:11" hidden="1" x14ac:dyDescent="0.25">
      <c r="A362" s="96">
        <v>2021</v>
      </c>
      <c r="B362" s="96" t="s">
        <v>68</v>
      </c>
      <c r="C362" s="100">
        <v>408</v>
      </c>
      <c r="E362" s="216" t="s">
        <v>714</v>
      </c>
      <c r="G362" s="99">
        <v>2698.75</v>
      </c>
      <c r="H362" s="133" t="s">
        <v>625</v>
      </c>
      <c r="K362" s="136">
        <f t="shared" si="22"/>
        <v>2698.75</v>
      </c>
    </row>
    <row r="363" spans="1:11" hidden="1" x14ac:dyDescent="0.25">
      <c r="A363" s="96">
        <v>2021</v>
      </c>
      <c r="B363" s="96" t="s">
        <v>68</v>
      </c>
      <c r="C363" s="100">
        <v>408</v>
      </c>
      <c r="E363" s="216" t="s">
        <v>715</v>
      </c>
      <c r="G363" s="99">
        <v>4207.3</v>
      </c>
      <c r="H363" s="133" t="s">
        <v>625</v>
      </c>
      <c r="K363" s="136">
        <f t="shared" si="22"/>
        <v>4207.3</v>
      </c>
    </row>
    <row r="364" spans="1:11" hidden="1" x14ac:dyDescent="0.25">
      <c r="A364" s="96">
        <v>2021</v>
      </c>
      <c r="B364" s="96" t="s">
        <v>68</v>
      </c>
      <c r="C364" s="100">
        <v>408</v>
      </c>
      <c r="E364" s="216" t="s">
        <v>715</v>
      </c>
      <c r="G364" s="99">
        <v>2698.75</v>
      </c>
      <c r="H364" s="133" t="s">
        <v>625</v>
      </c>
      <c r="K364" s="136">
        <f t="shared" si="22"/>
        <v>2698.75</v>
      </c>
    </row>
    <row r="365" spans="1:11" hidden="1" x14ac:dyDescent="0.25">
      <c r="A365" s="96">
        <v>2021</v>
      </c>
      <c r="B365" s="96" t="s">
        <v>68</v>
      </c>
      <c r="C365" s="100">
        <v>408</v>
      </c>
      <c r="E365" s="216" t="s">
        <v>702</v>
      </c>
      <c r="G365" s="99">
        <v>5317.7</v>
      </c>
      <c r="H365" s="133" t="s">
        <v>625</v>
      </c>
      <c r="K365" s="136">
        <f t="shared" si="22"/>
        <v>5317.7</v>
      </c>
    </row>
    <row r="366" spans="1:11" hidden="1" x14ac:dyDescent="0.25">
      <c r="A366" s="96">
        <v>2021</v>
      </c>
      <c r="B366" s="96" t="s">
        <v>68</v>
      </c>
      <c r="C366" s="100">
        <v>408</v>
      </c>
      <c r="E366" s="216" t="s">
        <v>716</v>
      </c>
      <c r="G366" s="99">
        <v>3681.4</v>
      </c>
      <c r="H366" s="133" t="s">
        <v>625</v>
      </c>
      <c r="K366" s="136">
        <f t="shared" si="22"/>
        <v>3681.4</v>
      </c>
    </row>
    <row r="367" spans="1:11" hidden="1" x14ac:dyDescent="0.25">
      <c r="A367" s="96">
        <v>2021</v>
      </c>
      <c r="B367" s="96" t="s">
        <v>68</v>
      </c>
      <c r="C367" s="100">
        <v>408</v>
      </c>
      <c r="E367" s="216" t="s">
        <v>764</v>
      </c>
      <c r="G367" s="99">
        <v>698.75</v>
      </c>
      <c r="H367" s="133" t="s">
        <v>625</v>
      </c>
      <c r="K367" s="136">
        <f t="shared" si="22"/>
        <v>698.75</v>
      </c>
    </row>
    <row r="368" spans="1:11" hidden="1" x14ac:dyDescent="0.25">
      <c r="A368" s="96">
        <v>2021</v>
      </c>
      <c r="B368" s="96" t="s">
        <v>68</v>
      </c>
      <c r="C368" s="100">
        <v>408</v>
      </c>
      <c r="E368" s="216" t="s">
        <v>718</v>
      </c>
      <c r="G368" s="99">
        <v>8550.42</v>
      </c>
      <c r="H368" s="133" t="s">
        <v>625</v>
      </c>
      <c r="K368" s="136">
        <f t="shared" si="22"/>
        <v>8550.42</v>
      </c>
    </row>
    <row r="369" spans="1:11" hidden="1" x14ac:dyDescent="0.25">
      <c r="A369" s="96">
        <v>2021</v>
      </c>
      <c r="B369" s="96" t="s">
        <v>68</v>
      </c>
      <c r="C369" s="100">
        <v>408</v>
      </c>
      <c r="E369" s="216" t="s">
        <v>673</v>
      </c>
      <c r="G369" s="99">
        <v>3155.57</v>
      </c>
      <c r="H369" s="133" t="s">
        <v>625</v>
      </c>
      <c r="K369" s="136">
        <f t="shared" si="22"/>
        <v>3155.57</v>
      </c>
    </row>
    <row r="370" spans="1:11" hidden="1" x14ac:dyDescent="0.25">
      <c r="A370" s="96">
        <v>2021</v>
      </c>
      <c r="B370" s="96" t="s">
        <v>68</v>
      </c>
      <c r="C370" s="100">
        <v>408</v>
      </c>
      <c r="E370" s="216" t="s">
        <v>720</v>
      </c>
      <c r="G370" s="99">
        <v>5500.3</v>
      </c>
      <c r="H370" s="133" t="s">
        <v>625</v>
      </c>
      <c r="K370" s="136">
        <f t="shared" si="22"/>
        <v>5500.3</v>
      </c>
    </row>
    <row r="371" spans="1:11" hidden="1" x14ac:dyDescent="0.25">
      <c r="A371" s="96">
        <v>2021</v>
      </c>
      <c r="B371" s="96" t="s">
        <v>68</v>
      </c>
      <c r="C371" s="100">
        <v>408</v>
      </c>
      <c r="E371" s="216" t="s">
        <v>691</v>
      </c>
      <c r="G371" s="99">
        <v>4689.6099999999997</v>
      </c>
      <c r="H371" s="133" t="s">
        <v>625</v>
      </c>
      <c r="K371" s="136">
        <f t="shared" si="22"/>
        <v>4689.6099999999997</v>
      </c>
    </row>
    <row r="372" spans="1:11" hidden="1" x14ac:dyDescent="0.25">
      <c r="A372" s="96">
        <v>2021</v>
      </c>
      <c r="B372" s="96" t="s">
        <v>68</v>
      </c>
      <c r="C372" s="100">
        <v>408</v>
      </c>
      <c r="E372" s="216" t="s">
        <v>691</v>
      </c>
      <c r="G372" s="99">
        <v>2698.75</v>
      </c>
      <c r="H372" s="133" t="s">
        <v>625</v>
      </c>
      <c r="K372" s="136">
        <f t="shared" ref="K372:K376" si="23">G372</f>
        <v>2698.75</v>
      </c>
    </row>
    <row r="373" spans="1:11" hidden="1" x14ac:dyDescent="0.25">
      <c r="A373" s="96">
        <v>2021</v>
      </c>
      <c r="B373" s="96" t="s">
        <v>68</v>
      </c>
      <c r="C373" s="100">
        <v>408</v>
      </c>
      <c r="E373" s="216" t="s">
        <v>818</v>
      </c>
      <c r="G373" s="99">
        <v>2698.75</v>
      </c>
      <c r="H373" s="133" t="s">
        <v>625</v>
      </c>
      <c r="K373" s="136">
        <f t="shared" si="23"/>
        <v>2698.75</v>
      </c>
    </row>
    <row r="374" spans="1:11" hidden="1" x14ac:dyDescent="0.25">
      <c r="A374" s="96">
        <v>2021</v>
      </c>
      <c r="B374" s="96" t="s">
        <v>68</v>
      </c>
      <c r="C374" s="100">
        <v>408</v>
      </c>
      <c r="E374" s="216" t="s">
        <v>723</v>
      </c>
      <c r="G374" s="99">
        <v>5427.82</v>
      </c>
      <c r="H374" s="133" t="s">
        <v>625</v>
      </c>
      <c r="K374" s="136">
        <f t="shared" si="23"/>
        <v>5427.82</v>
      </c>
    </row>
    <row r="375" spans="1:11" hidden="1" x14ac:dyDescent="0.25">
      <c r="A375" s="96">
        <v>2021</v>
      </c>
      <c r="B375" s="96" t="s">
        <v>68</v>
      </c>
      <c r="C375" s="100">
        <v>408</v>
      </c>
      <c r="E375" s="216" t="s">
        <v>710</v>
      </c>
      <c r="G375" s="99">
        <v>43946.23</v>
      </c>
      <c r="H375" s="133" t="s">
        <v>625</v>
      </c>
      <c r="K375" s="136">
        <f t="shared" si="23"/>
        <v>43946.23</v>
      </c>
    </row>
    <row r="376" spans="1:11" hidden="1" x14ac:dyDescent="0.25">
      <c r="A376" s="96">
        <v>2021</v>
      </c>
      <c r="B376" s="96" t="s">
        <v>79</v>
      </c>
      <c r="C376" s="100">
        <v>62</v>
      </c>
      <c r="E376" s="216" t="s">
        <v>819</v>
      </c>
      <c r="G376" s="99">
        <v>3900</v>
      </c>
      <c r="H376" s="133" t="s">
        <v>625</v>
      </c>
      <c r="K376" s="233">
        <f t="shared" si="23"/>
        <v>3900</v>
      </c>
    </row>
    <row r="377" spans="1:11" hidden="1" x14ac:dyDescent="0.25">
      <c r="A377" s="96">
        <v>2021</v>
      </c>
      <c r="B377" s="96" t="s">
        <v>79</v>
      </c>
      <c r="C377" s="100">
        <v>233</v>
      </c>
      <c r="E377" s="216" t="s">
        <v>673</v>
      </c>
      <c r="G377" s="99">
        <v>477.56</v>
      </c>
      <c r="H377" s="100" t="s">
        <v>625</v>
      </c>
      <c r="K377" s="233">
        <f>G377</f>
        <v>477.56</v>
      </c>
    </row>
    <row r="378" spans="1:11" hidden="1" x14ac:dyDescent="0.25">
      <c r="A378" s="96">
        <v>2021</v>
      </c>
      <c r="B378" s="96" t="s">
        <v>79</v>
      </c>
      <c r="C378" s="100">
        <v>233</v>
      </c>
      <c r="E378" s="216" t="s">
        <v>685</v>
      </c>
      <c r="G378" s="99">
        <v>1057.45</v>
      </c>
      <c r="H378" s="100" t="s">
        <v>625</v>
      </c>
      <c r="K378" s="233">
        <f t="shared" ref="K378:K402" si="24">G378</f>
        <v>1057.45</v>
      </c>
    </row>
    <row r="379" spans="1:11" hidden="1" x14ac:dyDescent="0.25">
      <c r="A379" s="96">
        <v>2021</v>
      </c>
      <c r="B379" s="96" t="s">
        <v>79</v>
      </c>
      <c r="C379" s="100">
        <v>233</v>
      </c>
      <c r="E379" s="216" t="s">
        <v>765</v>
      </c>
      <c r="G379" s="99">
        <v>477.55</v>
      </c>
      <c r="H379" s="100" t="s">
        <v>625</v>
      </c>
      <c r="K379" s="233">
        <f t="shared" si="24"/>
        <v>477.55</v>
      </c>
    </row>
    <row r="380" spans="1:11" hidden="1" x14ac:dyDescent="0.25">
      <c r="A380" s="96">
        <v>2021</v>
      </c>
      <c r="B380" s="96" t="s">
        <v>79</v>
      </c>
      <c r="C380" s="100">
        <v>303</v>
      </c>
      <c r="E380" s="216" t="s">
        <v>820</v>
      </c>
      <c r="G380" s="99">
        <v>1641.63</v>
      </c>
      <c r="H380" s="100" t="s">
        <v>625</v>
      </c>
      <c r="K380" s="233">
        <f t="shared" si="24"/>
        <v>1641.63</v>
      </c>
    </row>
    <row r="381" spans="1:11" hidden="1" x14ac:dyDescent="0.25">
      <c r="A381" s="96">
        <v>2021</v>
      </c>
      <c r="B381" s="96" t="s">
        <v>79</v>
      </c>
      <c r="C381" s="100">
        <v>346</v>
      </c>
      <c r="E381" s="94" t="s">
        <v>821</v>
      </c>
      <c r="G381" s="99">
        <v>364018.08</v>
      </c>
      <c r="H381" s="100" t="s">
        <v>625</v>
      </c>
      <c r="K381" s="233">
        <f t="shared" si="24"/>
        <v>364018.08</v>
      </c>
    </row>
    <row r="382" spans="1:11" hidden="1" x14ac:dyDescent="0.25">
      <c r="A382" s="96">
        <v>2021</v>
      </c>
      <c r="B382" s="96" t="s">
        <v>79</v>
      </c>
      <c r="C382" s="100">
        <v>389</v>
      </c>
      <c r="E382" s="216" t="s">
        <v>822</v>
      </c>
      <c r="G382" s="101">
        <v>561.75</v>
      </c>
      <c r="H382" s="100" t="s">
        <v>625</v>
      </c>
      <c r="K382" s="233">
        <f t="shared" si="24"/>
        <v>561.75</v>
      </c>
    </row>
    <row r="383" spans="1:11" hidden="1" x14ac:dyDescent="0.25">
      <c r="A383" s="96">
        <v>2021</v>
      </c>
      <c r="B383" s="96" t="s">
        <v>79</v>
      </c>
      <c r="C383" s="100">
        <v>408</v>
      </c>
      <c r="E383" s="216" t="s">
        <v>704</v>
      </c>
      <c r="G383" s="99">
        <v>404.81</v>
      </c>
      <c r="H383" s="100" t="s">
        <v>625</v>
      </c>
      <c r="K383" s="233">
        <f t="shared" si="24"/>
        <v>404.81</v>
      </c>
    </row>
    <row r="384" spans="1:11" hidden="1" x14ac:dyDescent="0.25">
      <c r="A384" s="96">
        <v>2021</v>
      </c>
      <c r="B384" s="96" t="s">
        <v>79</v>
      </c>
      <c r="C384" s="100">
        <v>408</v>
      </c>
      <c r="E384" s="216" t="s">
        <v>823</v>
      </c>
      <c r="G384" s="99">
        <v>656.45</v>
      </c>
      <c r="H384" s="100" t="s">
        <v>625</v>
      </c>
      <c r="K384" s="233">
        <f t="shared" si="24"/>
        <v>656.45</v>
      </c>
    </row>
    <row r="385" spans="1:16" hidden="1" x14ac:dyDescent="0.25">
      <c r="A385" s="96">
        <v>2021</v>
      </c>
      <c r="B385" s="96" t="s">
        <v>79</v>
      </c>
      <c r="C385" s="100">
        <v>408</v>
      </c>
      <c r="E385" s="216" t="s">
        <v>762</v>
      </c>
      <c r="G385" s="99">
        <v>2070.11</v>
      </c>
      <c r="H385" s="100" t="s">
        <v>625</v>
      </c>
      <c r="K385" s="233">
        <f t="shared" si="24"/>
        <v>2070.11</v>
      </c>
    </row>
    <row r="386" spans="1:16" hidden="1" x14ac:dyDescent="0.25">
      <c r="A386" s="96">
        <v>2021</v>
      </c>
      <c r="B386" s="96" t="s">
        <v>79</v>
      </c>
      <c r="C386" s="100">
        <v>408</v>
      </c>
      <c r="E386" s="216" t="s">
        <v>824</v>
      </c>
      <c r="G386" s="99">
        <v>3628.99</v>
      </c>
      <c r="H386" s="100" t="s">
        <v>625</v>
      </c>
      <c r="K386" s="233">
        <f t="shared" si="24"/>
        <v>3628.99</v>
      </c>
    </row>
    <row r="387" spans="1:16" hidden="1" x14ac:dyDescent="0.25">
      <c r="A387" s="96">
        <v>2021</v>
      </c>
      <c r="B387" s="96" t="s">
        <v>79</v>
      </c>
      <c r="C387" s="100">
        <v>408</v>
      </c>
      <c r="E387" s="216" t="s">
        <v>715</v>
      </c>
      <c r="G387" s="99">
        <v>404.81</v>
      </c>
      <c r="H387" s="100" t="s">
        <v>625</v>
      </c>
      <c r="K387" s="233">
        <f t="shared" si="24"/>
        <v>404.81</v>
      </c>
    </row>
    <row r="388" spans="1:16" hidden="1" x14ac:dyDescent="0.25">
      <c r="A388" s="96">
        <v>2021</v>
      </c>
      <c r="B388" s="96" t="s">
        <v>79</v>
      </c>
      <c r="C388" s="100">
        <v>408</v>
      </c>
      <c r="E388" s="216" t="s">
        <v>691</v>
      </c>
      <c r="G388" s="99">
        <v>404.81</v>
      </c>
      <c r="H388" s="100" t="s">
        <v>625</v>
      </c>
      <c r="K388" s="233">
        <f t="shared" si="24"/>
        <v>404.81</v>
      </c>
    </row>
    <row r="389" spans="1:16" hidden="1" x14ac:dyDescent="0.25">
      <c r="A389" s="96">
        <v>2021</v>
      </c>
      <c r="B389" s="96" t="s">
        <v>79</v>
      </c>
      <c r="C389" s="100">
        <v>408</v>
      </c>
      <c r="E389" s="216" t="s">
        <v>825</v>
      </c>
      <c r="G389" s="99">
        <v>2903.19</v>
      </c>
      <c r="H389" s="100" t="s">
        <v>625</v>
      </c>
      <c r="K389" s="233">
        <f t="shared" si="24"/>
        <v>2903.19</v>
      </c>
    </row>
    <row r="390" spans="1:16" hidden="1" x14ac:dyDescent="0.25">
      <c r="A390" s="96">
        <v>2021</v>
      </c>
      <c r="B390" s="96" t="s">
        <v>122</v>
      </c>
      <c r="C390" s="100">
        <v>184</v>
      </c>
      <c r="E390" s="216" t="s">
        <v>826</v>
      </c>
      <c r="G390" s="99">
        <v>2560601.04</v>
      </c>
      <c r="H390" s="100" t="s">
        <v>625</v>
      </c>
      <c r="K390" s="233">
        <f t="shared" si="24"/>
        <v>2560601.04</v>
      </c>
    </row>
    <row r="391" spans="1:16" hidden="1" x14ac:dyDescent="0.25">
      <c r="A391" s="96">
        <v>2021</v>
      </c>
      <c r="B391" s="96" t="s">
        <v>166</v>
      </c>
      <c r="C391" s="224"/>
      <c r="E391" s="216" t="s">
        <v>827</v>
      </c>
      <c r="G391" s="225">
        <v>2143.0500000000002</v>
      </c>
      <c r="H391" s="224" t="s">
        <v>625</v>
      </c>
      <c r="K391" s="234">
        <f t="shared" si="24"/>
        <v>2143.0500000000002</v>
      </c>
      <c r="P391" s="86"/>
    </row>
    <row r="392" spans="1:16" hidden="1" x14ac:dyDescent="0.25">
      <c r="A392" s="96">
        <v>2021</v>
      </c>
      <c r="B392" s="96" t="s">
        <v>168</v>
      </c>
      <c r="C392" s="224"/>
      <c r="D392" s="235"/>
      <c r="E392" s="225" t="s">
        <v>828</v>
      </c>
      <c r="F392" s="236"/>
      <c r="G392" s="237">
        <v>51</v>
      </c>
      <c r="H392" s="78" t="s">
        <v>625</v>
      </c>
      <c r="I392" s="238"/>
      <c r="J392" s="239"/>
      <c r="K392" s="240">
        <f t="shared" si="24"/>
        <v>51</v>
      </c>
      <c r="L392" s="241"/>
      <c r="M392" s="242"/>
      <c r="N392" s="243"/>
      <c r="P392" s="86"/>
    </row>
    <row r="393" spans="1:16" hidden="1" x14ac:dyDescent="0.25">
      <c r="A393" s="96">
        <v>2021</v>
      </c>
      <c r="B393" s="96" t="s">
        <v>176</v>
      </c>
      <c r="C393" s="224">
        <v>114</v>
      </c>
      <c r="E393" s="216" t="s">
        <v>829</v>
      </c>
      <c r="G393" s="225">
        <v>78</v>
      </c>
      <c r="H393" s="224" t="s">
        <v>625</v>
      </c>
      <c r="K393" s="233">
        <f t="shared" si="24"/>
        <v>78</v>
      </c>
      <c r="P393" s="86"/>
    </row>
    <row r="394" spans="1:16" hidden="1" x14ac:dyDescent="0.25">
      <c r="A394" s="96">
        <v>2021</v>
      </c>
      <c r="B394" s="96" t="s">
        <v>176</v>
      </c>
      <c r="C394" s="224">
        <v>240</v>
      </c>
      <c r="E394" s="94" t="s">
        <v>830</v>
      </c>
      <c r="G394" s="225">
        <v>607.99</v>
      </c>
      <c r="H394" s="224" t="s">
        <v>625</v>
      </c>
      <c r="K394" s="233">
        <f t="shared" si="24"/>
        <v>607.99</v>
      </c>
    </row>
    <row r="395" spans="1:16" hidden="1" x14ac:dyDescent="0.25">
      <c r="A395" s="96">
        <v>2021</v>
      </c>
      <c r="B395" s="96" t="s">
        <v>176</v>
      </c>
      <c r="C395" s="224">
        <v>245</v>
      </c>
      <c r="E395" s="101" t="s">
        <v>831</v>
      </c>
      <c r="G395" s="225">
        <f>129.36</f>
        <v>129.36000000000001</v>
      </c>
      <c r="H395" s="224" t="s">
        <v>625</v>
      </c>
      <c r="K395" s="233">
        <f t="shared" si="24"/>
        <v>129.36000000000001</v>
      </c>
    </row>
    <row r="396" spans="1:16" ht="28.5" hidden="1" customHeight="1" x14ac:dyDescent="0.25">
      <c r="A396" s="96">
        <v>2021</v>
      </c>
      <c r="B396" s="96" t="s">
        <v>176</v>
      </c>
      <c r="C396" s="224">
        <v>246</v>
      </c>
      <c r="E396" s="244" t="s">
        <v>832</v>
      </c>
      <c r="G396" s="225">
        <f>2745.48</f>
        <v>2745.48</v>
      </c>
      <c r="H396" s="224" t="s">
        <v>625</v>
      </c>
      <c r="K396" s="233">
        <f t="shared" si="24"/>
        <v>2745.48</v>
      </c>
    </row>
    <row r="397" spans="1:16" ht="23.25" hidden="1" x14ac:dyDescent="0.25">
      <c r="A397" s="96">
        <v>2021</v>
      </c>
      <c r="B397" s="96" t="s">
        <v>176</v>
      </c>
      <c r="C397" s="224">
        <v>247</v>
      </c>
      <c r="E397" s="244" t="s">
        <v>833</v>
      </c>
      <c r="G397" s="225">
        <f>2997.46</f>
        <v>2997.46</v>
      </c>
      <c r="H397" s="224" t="s">
        <v>625</v>
      </c>
      <c r="K397" s="233">
        <f t="shared" si="24"/>
        <v>2997.46</v>
      </c>
    </row>
    <row r="398" spans="1:16" ht="23.25" hidden="1" x14ac:dyDescent="0.25">
      <c r="A398" s="96">
        <v>2021</v>
      </c>
      <c r="B398" s="96" t="s">
        <v>176</v>
      </c>
      <c r="C398" s="224">
        <v>292</v>
      </c>
      <c r="E398" s="244" t="s">
        <v>834</v>
      </c>
      <c r="G398" s="225">
        <f>392.15</f>
        <v>392.15</v>
      </c>
      <c r="H398" s="224" t="s">
        <v>625</v>
      </c>
      <c r="K398" s="233">
        <f t="shared" si="24"/>
        <v>392.15</v>
      </c>
    </row>
    <row r="399" spans="1:16" ht="23.25" hidden="1" x14ac:dyDescent="0.25">
      <c r="A399" s="96">
        <v>2021</v>
      </c>
      <c r="B399" s="96" t="s">
        <v>176</v>
      </c>
      <c r="C399" s="224">
        <v>355</v>
      </c>
      <c r="E399" s="244" t="s">
        <v>685</v>
      </c>
      <c r="G399" s="225">
        <v>586.85</v>
      </c>
      <c r="H399" s="224" t="s">
        <v>625</v>
      </c>
      <c r="K399" s="233">
        <f t="shared" si="24"/>
        <v>586.85</v>
      </c>
    </row>
    <row r="400" spans="1:16" hidden="1" x14ac:dyDescent="0.25">
      <c r="A400" s="96">
        <v>2021</v>
      </c>
      <c r="B400" s="96" t="s">
        <v>176</v>
      </c>
      <c r="C400" s="224">
        <v>364</v>
      </c>
      <c r="E400" s="245" t="s">
        <v>824</v>
      </c>
      <c r="G400" s="225">
        <v>565.71</v>
      </c>
      <c r="H400" s="224" t="s">
        <v>625</v>
      </c>
      <c r="K400" s="233">
        <f t="shared" si="24"/>
        <v>565.71</v>
      </c>
    </row>
    <row r="401" spans="1:23" hidden="1" x14ac:dyDescent="0.25">
      <c r="A401" s="96">
        <v>2021</v>
      </c>
      <c r="B401" s="96" t="s">
        <v>176</v>
      </c>
      <c r="C401" s="224">
        <v>370</v>
      </c>
      <c r="E401" s="244" t="s">
        <v>719</v>
      </c>
      <c r="G401" s="225">
        <f>523.42</f>
        <v>523.41999999999996</v>
      </c>
      <c r="H401" s="224" t="s">
        <v>625</v>
      </c>
      <c r="K401" s="233">
        <f t="shared" si="24"/>
        <v>523.41999999999996</v>
      </c>
    </row>
    <row r="402" spans="1:23" ht="23.25" hidden="1" x14ac:dyDescent="0.25">
      <c r="A402" s="96">
        <v>2021</v>
      </c>
      <c r="B402" s="96" t="s">
        <v>176</v>
      </c>
      <c r="C402" s="224">
        <v>406</v>
      </c>
      <c r="E402" s="244" t="s">
        <v>835</v>
      </c>
      <c r="G402" s="225">
        <v>3191.03</v>
      </c>
      <c r="H402" s="224" t="s">
        <v>625</v>
      </c>
      <c r="K402" s="233">
        <f t="shared" si="24"/>
        <v>3191.03</v>
      </c>
    </row>
    <row r="403" spans="1:23" hidden="1" x14ac:dyDescent="0.25">
      <c r="A403" s="96">
        <v>2021</v>
      </c>
      <c r="B403" s="96" t="s">
        <v>182</v>
      </c>
      <c r="C403" s="100"/>
      <c r="E403" s="245" t="s">
        <v>183</v>
      </c>
      <c r="G403" s="225">
        <v>18405.45</v>
      </c>
      <c r="H403" s="224" t="s">
        <v>625</v>
      </c>
      <c r="K403" s="233">
        <f>G403</f>
        <v>18405.45</v>
      </c>
    </row>
    <row r="404" spans="1:23" hidden="1" x14ac:dyDescent="0.25">
      <c r="A404" s="245"/>
      <c r="B404" s="245"/>
      <c r="C404" s="224"/>
      <c r="E404" s="246" t="s">
        <v>836</v>
      </c>
      <c r="G404" s="263" t="s">
        <v>772</v>
      </c>
      <c r="H404" s="263"/>
      <c r="K404" s="247">
        <f>SUBTOTAL(9,K3:K403)-3</f>
        <v>12169.039999999999</v>
      </c>
      <c r="L404" s="104"/>
      <c r="M404" s="248"/>
    </row>
    <row r="405" spans="1:23" x14ac:dyDescent="0.25">
      <c r="K405" s="250">
        <f>SUBTOTAL(9,K3:K404)</f>
        <v>12172.039999999999</v>
      </c>
      <c r="W405">
        <f>SUBTOTAL(9,W48:W289)</f>
        <v>608.60199999999998</v>
      </c>
    </row>
  </sheetData>
  <autoFilter ref="A2:W404" xr:uid="{BCC38733-260A-425C-9C8C-FD6FDA774EA7}">
    <filterColumn colId="21">
      <filters>
        <filter val="0,05"/>
      </filters>
    </filterColumn>
  </autoFilter>
  <mergeCells count="3">
    <mergeCell ref="A1:K1"/>
    <mergeCell ref="M50:M51"/>
    <mergeCell ref="G404:H404"/>
  </mergeCells>
  <pageMargins left="0.74803149606299213" right="0.74803149606299213" top="0.78740157480314965" bottom="0.39370078740157483" header="0.51181102362204722" footer="0.51181102362204722"/>
  <pageSetup paperSize="9" scale="75" orientation="portrait" r:id="rId1"/>
  <headerFooter alignWithMargins="0">
    <oddHeader xml:space="preserve">&amp;L
&amp;C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3"/>
  <sheetViews>
    <sheetView tabSelected="1" topLeftCell="A39" zoomScale="130" zoomScaleNormal="130" workbookViewId="0">
      <selection activeCell="G42" sqref="G42"/>
    </sheetView>
  </sheetViews>
  <sheetFormatPr defaultColWidth="9.140625" defaultRowHeight="12.75" x14ac:dyDescent="0.2"/>
  <cols>
    <col min="1" max="1" width="10.7109375" style="4" customWidth="1"/>
    <col min="2" max="5" width="9.140625" style="4"/>
    <col min="6" max="6" width="17.42578125" style="4" customWidth="1"/>
    <col min="7" max="7" width="17" style="4" customWidth="1"/>
    <col min="8" max="8" width="2.85546875" style="4" customWidth="1"/>
    <col min="9" max="9" width="16.140625" style="4" customWidth="1"/>
    <col min="10" max="10" width="12.85546875" style="4" hidden="1" customWidth="1"/>
    <col min="11" max="12" width="14.5703125" style="4" hidden="1" customWidth="1"/>
    <col min="13" max="13" width="15.5703125" style="4" hidden="1" customWidth="1"/>
    <col min="14" max="14" width="12.85546875" style="4" hidden="1" customWidth="1"/>
    <col min="15" max="18" width="0" style="4" hidden="1" customWidth="1"/>
    <col min="19" max="19" width="15" style="4" hidden="1" customWidth="1"/>
    <col min="20" max="25" width="0" style="4" hidden="1" customWidth="1"/>
    <col min="26" max="26" width="15" style="4" hidden="1" customWidth="1"/>
    <col min="27" max="27" width="0" style="4" hidden="1" customWidth="1"/>
    <col min="28" max="28" width="9.140625" style="4"/>
    <col min="29" max="29" width="14" style="4" bestFit="1" customWidth="1"/>
    <col min="30" max="31" width="9.140625" style="4"/>
    <col min="32" max="32" width="16.5703125" style="4" bestFit="1" customWidth="1"/>
    <col min="33" max="16384" width="9.140625" style="4"/>
  </cols>
  <sheetData>
    <row r="1" spans="1:26" x14ac:dyDescent="0.2">
      <c r="A1" s="4" t="s">
        <v>575</v>
      </c>
    </row>
    <row r="3" spans="1:26" ht="20.25" customHeight="1" x14ac:dyDescent="0.2">
      <c r="A3" s="265" t="s">
        <v>576</v>
      </c>
      <c r="B3" s="265"/>
      <c r="C3" s="265"/>
      <c r="D3" s="265"/>
      <c r="E3" s="265"/>
      <c r="F3" s="265"/>
      <c r="G3" s="265"/>
      <c r="H3" s="265"/>
      <c r="I3" s="265"/>
    </row>
    <row r="4" spans="1:26" ht="7.5" customHeight="1" x14ac:dyDescent="0.2"/>
    <row r="5" spans="1:26" ht="9" customHeight="1" x14ac:dyDescent="0.2">
      <c r="A5" s="23"/>
      <c r="B5" s="24"/>
      <c r="C5" s="24"/>
      <c r="D5" s="24"/>
      <c r="E5" s="24"/>
      <c r="F5" s="24"/>
      <c r="G5" s="24"/>
      <c r="H5" s="24"/>
      <c r="I5" s="25"/>
    </row>
    <row r="6" spans="1:26" ht="15" customHeight="1" x14ac:dyDescent="0.2">
      <c r="A6" s="26" t="s">
        <v>577</v>
      </c>
      <c r="I6" s="27">
        <v>193652227</v>
      </c>
      <c r="S6" s="28"/>
    </row>
    <row r="7" spans="1:26" ht="6.75" customHeight="1" x14ac:dyDescent="0.2">
      <c r="A7" s="26"/>
      <c r="I7" s="29"/>
    </row>
    <row r="8" spans="1:26" ht="15" customHeight="1" x14ac:dyDescent="0.2">
      <c r="A8" s="26"/>
      <c r="I8" s="29"/>
    </row>
    <row r="9" spans="1:26" ht="15" customHeight="1" x14ac:dyDescent="0.2">
      <c r="A9" s="26" t="s">
        <v>13</v>
      </c>
      <c r="C9" s="4" t="s">
        <v>578</v>
      </c>
      <c r="G9" s="30">
        <f>'Stampa rendiconto PI - ENTRATE'!I111</f>
        <v>47543635</v>
      </c>
      <c r="I9" s="29"/>
    </row>
    <row r="10" spans="1:26" ht="16.5" customHeight="1" thickBot="1" x14ac:dyDescent="0.25">
      <c r="A10" s="26" t="s">
        <v>579</v>
      </c>
      <c r="C10" s="4" t="s">
        <v>580</v>
      </c>
      <c r="G10" s="31">
        <f>'Stampa rendiconto PII - ENTRATE'!F105</f>
        <v>18463541</v>
      </c>
      <c r="H10" s="18"/>
      <c r="I10" s="32">
        <f>G9+G10</f>
        <v>66007176</v>
      </c>
    </row>
    <row r="11" spans="1:26" ht="15" customHeight="1" x14ac:dyDescent="0.2">
      <c r="A11" s="26"/>
      <c r="G11" s="18"/>
      <c r="H11" s="18"/>
      <c r="I11" s="33"/>
    </row>
    <row r="12" spans="1:26" ht="20.25" customHeight="1" x14ac:dyDescent="0.2">
      <c r="A12" s="26" t="s">
        <v>199</v>
      </c>
      <c r="C12" s="4" t="s">
        <v>578</v>
      </c>
      <c r="G12" s="34">
        <f>'Stampa rendiconto PI - USCITE'!I140</f>
        <v>23636122</v>
      </c>
      <c r="H12" s="18"/>
      <c r="I12" s="33"/>
    </row>
    <row r="13" spans="1:26" ht="20.25" customHeight="1" thickBot="1" x14ac:dyDescent="0.25">
      <c r="A13" s="26"/>
      <c r="C13" s="4" t="s">
        <v>580</v>
      </c>
      <c r="G13" s="31">
        <f>'Stampa rendiconto PII - USCITE'!F140</f>
        <v>38669473</v>
      </c>
      <c r="H13" s="18"/>
      <c r="I13" s="32">
        <f>G12+G13</f>
        <v>62305595</v>
      </c>
    </row>
    <row r="14" spans="1:26" ht="15" customHeight="1" x14ac:dyDescent="0.2">
      <c r="A14" s="26"/>
      <c r="G14" s="18"/>
      <c r="H14" s="18"/>
      <c r="I14" s="33"/>
      <c r="S14" s="28"/>
    </row>
    <row r="15" spans="1:26" ht="15" customHeight="1" thickBot="1" x14ac:dyDescent="0.25">
      <c r="A15" s="26" t="s">
        <v>581</v>
      </c>
      <c r="G15" s="18"/>
      <c r="H15" s="18"/>
      <c r="I15" s="32">
        <f>I6+I10-I13</f>
        <v>197353808</v>
      </c>
      <c r="K15" s="28"/>
      <c r="S15" s="35"/>
      <c r="Z15" s="59">
        <f>217053660-1301860-15146</f>
        <v>215736654</v>
      </c>
    </row>
    <row r="16" spans="1:26" ht="15" customHeight="1" x14ac:dyDescent="0.2">
      <c r="A16" s="26"/>
      <c r="G16" s="18"/>
      <c r="H16" s="18"/>
      <c r="I16" s="33"/>
    </row>
    <row r="17" spans="1:29" ht="15" customHeight="1" x14ac:dyDescent="0.2">
      <c r="A17" s="26"/>
      <c r="G17" s="18"/>
      <c r="H17" s="18"/>
      <c r="I17" s="36"/>
    </row>
    <row r="18" spans="1:29" ht="15.75" customHeight="1" x14ac:dyDescent="0.2">
      <c r="A18" s="26" t="s">
        <v>582</v>
      </c>
      <c r="C18" s="4" t="s">
        <v>583</v>
      </c>
      <c r="G18" s="34">
        <f>'Stampa rendiconto PII - ENTRATE'!G105</f>
        <v>68667407</v>
      </c>
      <c r="H18" s="18"/>
      <c r="I18" s="33"/>
    </row>
    <row r="19" spans="1:29" ht="15.75" customHeight="1" thickBot="1" x14ac:dyDescent="0.25">
      <c r="A19" s="26"/>
      <c r="C19" s="4" t="s">
        <v>584</v>
      </c>
      <c r="G19" s="31">
        <f>'Stampa rendiconto PI - ENTRATE'!J111</f>
        <v>7085596</v>
      </c>
      <c r="H19" s="18"/>
      <c r="I19" s="32">
        <f>G18+G19+J19</f>
        <v>75753003</v>
      </c>
      <c r="N19" s="28"/>
      <c r="S19" s="28"/>
    </row>
    <row r="20" spans="1:29" ht="16.5" customHeight="1" x14ac:dyDescent="0.2">
      <c r="A20" s="26"/>
      <c r="G20" s="18"/>
      <c r="H20" s="18"/>
      <c r="I20" s="33"/>
    </row>
    <row r="21" spans="1:29" ht="15.75" customHeight="1" x14ac:dyDescent="0.2">
      <c r="A21" s="26" t="s">
        <v>585</v>
      </c>
      <c r="C21" s="4" t="s">
        <v>583</v>
      </c>
      <c r="G21" s="34">
        <f>'Stampa rendiconto PII - USCITE'!G140</f>
        <v>26394648</v>
      </c>
      <c r="H21" s="34"/>
      <c r="I21" s="37"/>
    </row>
    <row r="22" spans="1:29" ht="15.75" customHeight="1" thickBot="1" x14ac:dyDescent="0.25">
      <c r="A22" s="26"/>
      <c r="C22" s="4" t="s">
        <v>584</v>
      </c>
      <c r="G22" s="31">
        <f>'Stampa rendiconto PI - USCITE'!J140</f>
        <v>26141717</v>
      </c>
      <c r="H22" s="34"/>
      <c r="I22" s="38">
        <f>G21+G22</f>
        <v>52536365</v>
      </c>
      <c r="AC22" s="28"/>
    </row>
    <row r="23" spans="1:29" ht="15" customHeight="1" x14ac:dyDescent="0.2">
      <c r="A23" s="26"/>
      <c r="G23" s="18"/>
      <c r="H23" s="18"/>
      <c r="I23" s="33"/>
    </row>
    <row r="24" spans="1:29" ht="15" customHeight="1" thickBot="1" x14ac:dyDescent="0.25">
      <c r="A24" s="39" t="s">
        <v>586</v>
      </c>
      <c r="B24" s="4" t="s">
        <v>587</v>
      </c>
      <c r="G24" s="18"/>
      <c r="H24" s="18"/>
      <c r="I24" s="40">
        <f>I15+I19-I22</f>
        <v>220570446</v>
      </c>
      <c r="J24" s="28"/>
      <c r="Z24" s="28"/>
    </row>
    <row r="25" spans="1:29" ht="19.5" customHeight="1" x14ac:dyDescent="0.2">
      <c r="A25" s="41" t="s">
        <v>588</v>
      </c>
      <c r="G25" s="18"/>
      <c r="H25" s="18"/>
      <c r="I25" s="33"/>
      <c r="Z25" s="28"/>
    </row>
    <row r="26" spans="1:29" ht="15" customHeight="1" x14ac:dyDescent="0.2">
      <c r="A26" s="42"/>
      <c r="B26" s="43"/>
      <c r="C26" s="43"/>
      <c r="D26" s="43"/>
      <c r="E26" s="43"/>
      <c r="F26" s="43"/>
      <c r="G26" s="44"/>
      <c r="H26" s="44"/>
      <c r="I26" s="45"/>
    </row>
    <row r="27" spans="1:29" ht="15" customHeight="1" x14ac:dyDescent="0.2">
      <c r="G27" s="18"/>
      <c r="H27" s="18"/>
      <c r="I27" s="18"/>
    </row>
    <row r="28" spans="1:29" ht="9.75" customHeight="1" x14ac:dyDescent="0.2">
      <c r="A28" s="23"/>
      <c r="B28" s="24"/>
      <c r="C28" s="24"/>
      <c r="D28" s="24"/>
      <c r="E28" s="24"/>
      <c r="F28" s="24"/>
      <c r="G28" s="24"/>
      <c r="H28" s="23"/>
      <c r="I28" s="25"/>
    </row>
    <row r="29" spans="1:29" ht="15" customHeight="1" x14ac:dyDescent="0.2">
      <c r="A29" s="26" t="s">
        <v>612</v>
      </c>
      <c r="H29" s="23"/>
      <c r="I29" s="25"/>
    </row>
    <row r="30" spans="1:29" ht="9" customHeight="1" x14ac:dyDescent="0.2">
      <c r="A30" s="46"/>
      <c r="H30" s="26"/>
      <c r="I30" s="29"/>
    </row>
    <row r="31" spans="1:29" ht="15" customHeight="1" x14ac:dyDescent="0.2">
      <c r="A31" s="46" t="s">
        <v>589</v>
      </c>
      <c r="H31" s="26"/>
      <c r="I31" s="29"/>
    </row>
    <row r="32" spans="1:29" ht="15" customHeight="1" x14ac:dyDescent="0.2">
      <c r="A32" s="26" t="s">
        <v>590</v>
      </c>
      <c r="G32" s="47"/>
      <c r="H32" s="26"/>
      <c r="I32" s="36">
        <v>1976438</v>
      </c>
      <c r="K32" s="48"/>
      <c r="L32" s="28"/>
      <c r="Z32" s="49"/>
    </row>
    <row r="33" spans="1:32" ht="15" customHeight="1" x14ac:dyDescent="0.2">
      <c r="A33" s="26" t="s">
        <v>591</v>
      </c>
      <c r="H33" s="26"/>
      <c r="I33" s="50"/>
    </row>
    <row r="34" spans="1:32" ht="15" customHeight="1" x14ac:dyDescent="0.2">
      <c r="A34" s="26"/>
      <c r="B34" s="4" t="s">
        <v>592</v>
      </c>
      <c r="G34" s="42"/>
      <c r="H34" s="26"/>
      <c r="I34" s="29"/>
    </row>
    <row r="35" spans="1:32" ht="15" customHeight="1" x14ac:dyDescent="0.2">
      <c r="A35" s="26" t="s">
        <v>593</v>
      </c>
      <c r="H35" s="26"/>
      <c r="I35" s="48"/>
      <c r="K35" s="4" t="s">
        <v>594</v>
      </c>
    </row>
    <row r="36" spans="1:32" ht="15" customHeight="1" x14ac:dyDescent="0.2">
      <c r="A36" s="26" t="s">
        <v>595</v>
      </c>
      <c r="H36" s="26"/>
      <c r="I36" s="51"/>
      <c r="J36" s="4">
        <v>8422845.3100000005</v>
      </c>
      <c r="N36" s="4" t="s">
        <v>596</v>
      </c>
    </row>
    <row r="37" spans="1:32" ht="15" customHeight="1" x14ac:dyDescent="0.25">
      <c r="A37" s="26"/>
      <c r="B37" s="4" t="s">
        <v>597</v>
      </c>
      <c r="G37" s="64"/>
      <c r="I37" s="29"/>
      <c r="J37" s="4">
        <v>38008587</v>
      </c>
      <c r="K37" s="52">
        <v>4036882.77</v>
      </c>
      <c r="L37" s="53">
        <f>7000000-K37</f>
        <v>2963117.23</v>
      </c>
      <c r="M37" s="54">
        <f>L37+12922845.34+'[1]dispon_conto vinC2009'!$E$3</f>
        <v>16050297.98</v>
      </c>
      <c r="N37" s="4" t="s">
        <v>598</v>
      </c>
    </row>
    <row r="38" spans="1:32" ht="15" customHeight="1" x14ac:dyDescent="0.25">
      <c r="A38" s="26"/>
      <c r="B38" s="4" t="s">
        <v>599</v>
      </c>
      <c r="G38" s="258">
        <v>55474</v>
      </c>
      <c r="H38" s="18"/>
      <c r="I38" s="33"/>
      <c r="M38" s="54">
        <f>I33-M37</f>
        <v>-16050297.98</v>
      </c>
      <c r="S38" s="4" t="s">
        <v>600</v>
      </c>
      <c r="Y38" s="4" t="s">
        <v>610</v>
      </c>
      <c r="Z38" s="58" t="s">
        <v>611</v>
      </c>
      <c r="AA38" s="58">
        <v>160628</v>
      </c>
    </row>
    <row r="39" spans="1:32" ht="15" customHeight="1" x14ac:dyDescent="0.25">
      <c r="A39" s="26" t="s">
        <v>787</v>
      </c>
      <c r="G39" s="259">
        <v>12544</v>
      </c>
      <c r="H39" s="18"/>
      <c r="I39" s="33"/>
      <c r="M39" s="54"/>
      <c r="S39" s="4" t="s">
        <v>601</v>
      </c>
    </row>
    <row r="40" spans="1:32" ht="15" customHeight="1" x14ac:dyDescent="0.25">
      <c r="A40" s="26" t="s">
        <v>788</v>
      </c>
      <c r="G40" s="259">
        <v>259113</v>
      </c>
      <c r="H40" s="18"/>
      <c r="I40" s="33"/>
      <c r="M40" s="54"/>
    </row>
    <row r="41" spans="1:32" ht="15" customHeight="1" x14ac:dyDescent="0.25">
      <c r="A41" s="26" t="s">
        <v>602</v>
      </c>
      <c r="G41" s="259">
        <v>3080</v>
      </c>
      <c r="H41" s="18"/>
      <c r="I41" s="33"/>
      <c r="M41" s="54"/>
    </row>
    <row r="42" spans="1:32" ht="15" customHeight="1" x14ac:dyDescent="0.25">
      <c r="A42" s="251" t="s">
        <v>842</v>
      </c>
      <c r="B42" s="252"/>
      <c r="C42" s="252"/>
      <c r="D42" s="252"/>
      <c r="F42" s="252"/>
      <c r="G42" s="259">
        <v>4863233</v>
      </c>
      <c r="H42" s="18"/>
      <c r="I42" s="33"/>
      <c r="M42" s="54"/>
    </row>
    <row r="43" spans="1:32" ht="15" customHeight="1" x14ac:dyDescent="0.25">
      <c r="A43" s="251" t="s">
        <v>843</v>
      </c>
      <c r="B43" s="252"/>
      <c r="C43" s="252"/>
      <c r="D43" s="252"/>
      <c r="F43" s="252"/>
      <c r="G43" s="259">
        <v>6044203</v>
      </c>
      <c r="H43" s="18"/>
      <c r="I43" s="33"/>
      <c r="M43" s="54"/>
      <c r="AC43" s="18"/>
      <c r="AD43" s="18"/>
      <c r="AE43" s="18"/>
      <c r="AF43" s="18"/>
    </row>
    <row r="44" spans="1:32" ht="24" customHeight="1" x14ac:dyDescent="0.25">
      <c r="A44" s="119" t="s">
        <v>789</v>
      </c>
      <c r="B44" s="252"/>
      <c r="C44" s="252"/>
      <c r="D44" s="252"/>
      <c r="F44" s="252"/>
      <c r="G44" s="118"/>
      <c r="H44" s="18"/>
      <c r="I44" s="33"/>
      <c r="AC44" s="18"/>
      <c r="AD44" s="18"/>
      <c r="AE44" s="18"/>
      <c r="AF44" s="18"/>
    </row>
    <row r="45" spans="1:32" ht="24" customHeight="1" x14ac:dyDescent="0.25">
      <c r="A45" s="26" t="s">
        <v>790</v>
      </c>
      <c r="G45" s="120"/>
      <c r="H45" s="18"/>
      <c r="I45" s="33"/>
      <c r="AC45" s="18"/>
      <c r="AD45" s="18"/>
      <c r="AE45" s="18"/>
      <c r="AF45" s="18"/>
    </row>
    <row r="46" spans="1:32" ht="15.75" customHeight="1" x14ac:dyDescent="0.25">
      <c r="A46" s="26"/>
      <c r="G46" s="257">
        <v>50000000</v>
      </c>
      <c r="H46" s="18"/>
      <c r="I46" s="33"/>
      <c r="AC46" s="18"/>
      <c r="AD46" s="18"/>
      <c r="AE46" s="18"/>
      <c r="AF46" s="18"/>
    </row>
    <row r="47" spans="1:32" ht="15.75" customHeight="1" x14ac:dyDescent="0.25">
      <c r="A47" s="253" t="s">
        <v>841</v>
      </c>
      <c r="G47" s="257">
        <v>1425722</v>
      </c>
      <c r="H47" s="18"/>
      <c r="I47" s="33"/>
      <c r="AC47" s="18"/>
      <c r="AD47" s="18"/>
      <c r="AE47" s="18"/>
      <c r="AF47" s="18"/>
    </row>
    <row r="48" spans="1:32" ht="15.75" customHeight="1" x14ac:dyDescent="0.25">
      <c r="A48" s="4" t="s">
        <v>837</v>
      </c>
      <c r="G48" s="257">
        <v>4230655</v>
      </c>
      <c r="H48" s="18"/>
      <c r="I48" s="33"/>
      <c r="AC48" s="18"/>
      <c r="AD48" s="18"/>
      <c r="AE48" s="18"/>
      <c r="AF48" s="18"/>
    </row>
    <row r="49" spans="1:32" ht="15" customHeight="1" x14ac:dyDescent="0.25">
      <c r="A49" s="26" t="s">
        <v>790</v>
      </c>
      <c r="G49" s="121"/>
      <c r="H49" s="60"/>
      <c r="I49" s="33"/>
      <c r="AC49" s="364"/>
      <c r="AD49" s="18"/>
      <c r="AE49" s="18"/>
      <c r="AF49" s="365"/>
    </row>
    <row r="50" spans="1:32" ht="15" customHeight="1" x14ac:dyDescent="0.25">
      <c r="A50" s="4" t="s">
        <v>838</v>
      </c>
      <c r="B50" s="18"/>
      <c r="C50" s="18"/>
      <c r="D50" s="18"/>
      <c r="E50" s="18"/>
      <c r="F50" s="18"/>
      <c r="G50" s="257">
        <v>13798145</v>
      </c>
      <c r="H50" s="60"/>
      <c r="I50" s="33"/>
      <c r="AC50" s="18"/>
      <c r="AD50" s="18"/>
      <c r="AE50" s="18"/>
      <c r="AF50" s="18"/>
    </row>
    <row r="51" spans="1:32" ht="15" customHeight="1" x14ac:dyDescent="0.25">
      <c r="A51" s="4" t="s">
        <v>839</v>
      </c>
      <c r="B51" s="18"/>
      <c r="C51" s="18"/>
      <c r="D51" s="18"/>
      <c r="E51" s="18"/>
      <c r="F51" s="18"/>
      <c r="G51" s="257">
        <v>17124254</v>
      </c>
      <c r="H51" s="60"/>
      <c r="I51" s="33"/>
    </row>
    <row r="52" spans="1:32" ht="15" customHeight="1" x14ac:dyDescent="0.25">
      <c r="A52" s="267" t="s">
        <v>844</v>
      </c>
      <c r="B52" s="267"/>
      <c r="C52" s="267"/>
      <c r="D52" s="267"/>
      <c r="E52" s="267"/>
      <c r="F52" s="267"/>
      <c r="G52" s="257">
        <v>7520891</v>
      </c>
      <c r="H52" s="60"/>
      <c r="I52" s="33"/>
    </row>
    <row r="53" spans="1:32" ht="15" customHeight="1" x14ac:dyDescent="0.2">
      <c r="A53" s="267"/>
      <c r="B53" s="267"/>
      <c r="C53" s="267"/>
      <c r="D53" s="267"/>
      <c r="E53" s="267"/>
      <c r="F53" s="267"/>
      <c r="AC53" s="59"/>
    </row>
    <row r="54" spans="1:32" ht="23.25" customHeight="1" x14ac:dyDescent="0.2">
      <c r="A54" s="60"/>
      <c r="B54" s="18"/>
      <c r="C54" s="18"/>
      <c r="D54" s="18"/>
      <c r="E54" s="18" t="s">
        <v>603</v>
      </c>
      <c r="F54" s="18"/>
      <c r="G54" s="18"/>
      <c r="H54" s="60"/>
      <c r="I54" s="40">
        <f>SUM(G38:G52)+I32</f>
        <v>107313752</v>
      </c>
      <c r="AC54" s="19"/>
    </row>
    <row r="55" spans="1:32" ht="15" customHeight="1" x14ac:dyDescent="0.2">
      <c r="A55" s="61" t="s">
        <v>604</v>
      </c>
      <c r="B55" s="18"/>
      <c r="C55" s="18"/>
      <c r="D55" s="18"/>
      <c r="E55" s="18"/>
      <c r="F55" s="18"/>
      <c r="G55" s="18"/>
      <c r="H55" s="62"/>
      <c r="I55" s="63">
        <f>I24-I54</f>
        <v>113256694</v>
      </c>
      <c r="AC55" s="19"/>
    </row>
    <row r="56" spans="1:32" ht="15" customHeight="1" x14ac:dyDescent="0.2">
      <c r="A56" s="266" t="s">
        <v>605</v>
      </c>
      <c r="B56" s="264"/>
      <c r="C56" s="264"/>
      <c r="D56" s="56"/>
      <c r="G56" s="18"/>
      <c r="H56" s="23"/>
      <c r="I56" s="25" t="s">
        <v>606</v>
      </c>
      <c r="AF56" s="122"/>
    </row>
    <row r="57" spans="1:32" ht="7.5" customHeight="1" x14ac:dyDescent="0.2">
      <c r="A57" s="266" t="s">
        <v>607</v>
      </c>
      <c r="B57" s="264"/>
      <c r="C57" s="264"/>
      <c r="D57" s="56"/>
      <c r="G57" s="18"/>
      <c r="H57" s="26"/>
      <c r="I57" s="29"/>
    </row>
    <row r="58" spans="1:32" ht="15" customHeight="1" x14ac:dyDescent="0.2">
      <c r="A58" s="26"/>
      <c r="G58" s="18"/>
      <c r="H58" s="26"/>
      <c r="I58" s="29"/>
      <c r="J58" s="28">
        <f>I60-34590000</f>
        <v>78666694</v>
      </c>
      <c r="N58" s="4" t="s">
        <v>608</v>
      </c>
      <c r="S58" s="28"/>
    </row>
    <row r="59" spans="1:32" ht="14.25" customHeight="1" x14ac:dyDescent="0.2">
      <c r="A59" s="26"/>
      <c r="H59" s="26"/>
      <c r="I59" s="29"/>
    </row>
    <row r="60" spans="1:32" x14ac:dyDescent="0.2">
      <c r="A60" s="26"/>
      <c r="E60" s="264" t="s">
        <v>609</v>
      </c>
      <c r="F60" s="264"/>
      <c r="H60" s="26"/>
      <c r="I60" s="55">
        <f>I55</f>
        <v>113256694</v>
      </c>
    </row>
    <row r="61" spans="1:32" x14ac:dyDescent="0.2">
      <c r="A61" s="26"/>
      <c r="H61" s="26"/>
      <c r="I61" s="29"/>
    </row>
    <row r="62" spans="1:32" x14ac:dyDescent="0.2">
      <c r="A62" s="46" t="s">
        <v>786</v>
      </c>
      <c r="H62" s="26"/>
      <c r="I62" s="55">
        <f>I24</f>
        <v>220570446</v>
      </c>
    </row>
    <row r="63" spans="1:32" x14ac:dyDescent="0.2">
      <c r="A63" s="42"/>
      <c r="B63" s="43"/>
      <c r="C63" s="43"/>
      <c r="D63" s="43"/>
      <c r="E63" s="43"/>
      <c r="F63" s="43"/>
      <c r="G63" s="43"/>
      <c r="H63" s="42"/>
      <c r="I63" s="57"/>
    </row>
  </sheetData>
  <mergeCells count="5">
    <mergeCell ref="E60:F60"/>
    <mergeCell ref="A3:I3"/>
    <mergeCell ref="A56:C56"/>
    <mergeCell ref="A57:C57"/>
    <mergeCell ref="A52:F53"/>
  </mergeCells>
  <pageMargins left="0.74803149606299213" right="0.74803149606299213" top="0.98425196850393704" bottom="0.98425196850393704" header="0" footer="0"/>
  <pageSetup paperSize="9" scale="32" orientation="portrait" r:id="rId1"/>
  <headerFooter alignWithMargins="0">
    <oddFooter>&amp;L&amp;C&amp;"Arial"&amp;8&amp;P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showGridLines="0" topLeftCell="C1" zoomScale="184" zoomScaleNormal="184" workbookViewId="0">
      <pane ySplit="5" topLeftCell="A6" activePane="bottomLeft" state="frozenSplit"/>
      <selection activeCell="G42" sqref="G42"/>
      <selection pane="bottomLeft" activeCell="A2" sqref="A2:M45"/>
    </sheetView>
  </sheetViews>
  <sheetFormatPr defaultRowHeight="12.75" x14ac:dyDescent="0.2"/>
  <cols>
    <col min="1" max="1" width="0.28515625" style="4" customWidth="1"/>
    <col min="2" max="2" width="0.140625" style="4" customWidth="1"/>
    <col min="3" max="3" width="45.7109375" style="4" customWidth="1"/>
    <col min="4" max="4" width="0.140625" style="4" customWidth="1"/>
    <col min="5" max="5" width="13.5703125" style="4" customWidth="1"/>
    <col min="6" max="6" width="0.140625" style="4" customWidth="1"/>
    <col min="7" max="7" width="13.5703125" style="4" customWidth="1"/>
    <col min="8" max="8" width="0.140625" style="4" customWidth="1"/>
    <col min="9" max="9" width="13.5703125" style="4" customWidth="1"/>
    <col min="10" max="10" width="0.140625" style="4" customWidth="1"/>
    <col min="11" max="11" width="13.5703125" style="4" customWidth="1"/>
    <col min="12" max="14" width="0" style="4" hidden="1" customWidth="1"/>
    <col min="15" max="15" width="14.140625" style="4" bestFit="1" customWidth="1"/>
    <col min="16" max="16" width="9.140625" style="4"/>
    <col min="17" max="17" width="13.42578125" style="4" bestFit="1" customWidth="1"/>
    <col min="18" max="256" width="9.140625" style="4"/>
    <col min="257" max="257" width="0.28515625" style="4" customWidth="1"/>
    <col min="258" max="258" width="0.140625" style="4" customWidth="1"/>
    <col min="259" max="259" width="45.7109375" style="4" customWidth="1"/>
    <col min="260" max="260" width="0.140625" style="4" customWidth="1"/>
    <col min="261" max="261" width="13.5703125" style="4" customWidth="1"/>
    <col min="262" max="262" width="0.140625" style="4" customWidth="1"/>
    <col min="263" max="263" width="13.5703125" style="4" customWidth="1"/>
    <col min="264" max="264" width="0.140625" style="4" customWidth="1"/>
    <col min="265" max="265" width="13.5703125" style="4" customWidth="1"/>
    <col min="266" max="266" width="0.140625" style="4" customWidth="1"/>
    <col min="267" max="267" width="13.5703125" style="4" customWidth="1"/>
    <col min="268" max="270" width="0" style="4" hidden="1" customWidth="1"/>
    <col min="271" max="512" width="9.140625" style="4"/>
    <col min="513" max="513" width="0.28515625" style="4" customWidth="1"/>
    <col min="514" max="514" width="0.140625" style="4" customWidth="1"/>
    <col min="515" max="515" width="45.7109375" style="4" customWidth="1"/>
    <col min="516" max="516" width="0.140625" style="4" customWidth="1"/>
    <col min="517" max="517" width="13.5703125" style="4" customWidth="1"/>
    <col min="518" max="518" width="0.140625" style="4" customWidth="1"/>
    <col min="519" max="519" width="13.5703125" style="4" customWidth="1"/>
    <col min="520" max="520" width="0.140625" style="4" customWidth="1"/>
    <col min="521" max="521" width="13.5703125" style="4" customWidth="1"/>
    <col min="522" max="522" width="0.140625" style="4" customWidth="1"/>
    <col min="523" max="523" width="13.5703125" style="4" customWidth="1"/>
    <col min="524" max="526" width="0" style="4" hidden="1" customWidth="1"/>
    <col min="527" max="768" width="9.140625" style="4"/>
    <col min="769" max="769" width="0.28515625" style="4" customWidth="1"/>
    <col min="770" max="770" width="0.140625" style="4" customWidth="1"/>
    <col min="771" max="771" width="45.7109375" style="4" customWidth="1"/>
    <col min="772" max="772" width="0.140625" style="4" customWidth="1"/>
    <col min="773" max="773" width="13.5703125" style="4" customWidth="1"/>
    <col min="774" max="774" width="0.140625" style="4" customWidth="1"/>
    <col min="775" max="775" width="13.5703125" style="4" customWidth="1"/>
    <col min="776" max="776" width="0.140625" style="4" customWidth="1"/>
    <col min="777" max="777" width="13.5703125" style="4" customWidth="1"/>
    <col min="778" max="778" width="0.140625" style="4" customWidth="1"/>
    <col min="779" max="779" width="13.5703125" style="4" customWidth="1"/>
    <col min="780" max="782" width="0" style="4" hidden="1" customWidth="1"/>
    <col min="783" max="1024" width="9.140625" style="4"/>
    <col min="1025" max="1025" width="0.28515625" style="4" customWidth="1"/>
    <col min="1026" max="1026" width="0.140625" style="4" customWidth="1"/>
    <col min="1027" max="1027" width="45.7109375" style="4" customWidth="1"/>
    <col min="1028" max="1028" width="0.140625" style="4" customWidth="1"/>
    <col min="1029" max="1029" width="13.5703125" style="4" customWidth="1"/>
    <col min="1030" max="1030" width="0.140625" style="4" customWidth="1"/>
    <col min="1031" max="1031" width="13.5703125" style="4" customWidth="1"/>
    <col min="1032" max="1032" width="0.140625" style="4" customWidth="1"/>
    <col min="1033" max="1033" width="13.5703125" style="4" customWidth="1"/>
    <col min="1034" max="1034" width="0.140625" style="4" customWidth="1"/>
    <col min="1035" max="1035" width="13.5703125" style="4" customWidth="1"/>
    <col min="1036" max="1038" width="0" style="4" hidden="1" customWidth="1"/>
    <col min="1039" max="1280" width="9.140625" style="4"/>
    <col min="1281" max="1281" width="0.28515625" style="4" customWidth="1"/>
    <col min="1282" max="1282" width="0.140625" style="4" customWidth="1"/>
    <col min="1283" max="1283" width="45.7109375" style="4" customWidth="1"/>
    <col min="1284" max="1284" width="0.140625" style="4" customWidth="1"/>
    <col min="1285" max="1285" width="13.5703125" style="4" customWidth="1"/>
    <col min="1286" max="1286" width="0.140625" style="4" customWidth="1"/>
    <col min="1287" max="1287" width="13.5703125" style="4" customWidth="1"/>
    <col min="1288" max="1288" width="0.140625" style="4" customWidth="1"/>
    <col min="1289" max="1289" width="13.5703125" style="4" customWidth="1"/>
    <col min="1290" max="1290" width="0.140625" style="4" customWidth="1"/>
    <col min="1291" max="1291" width="13.5703125" style="4" customWidth="1"/>
    <col min="1292" max="1294" width="0" style="4" hidden="1" customWidth="1"/>
    <col min="1295" max="1536" width="9.140625" style="4"/>
    <col min="1537" max="1537" width="0.28515625" style="4" customWidth="1"/>
    <col min="1538" max="1538" width="0.140625" style="4" customWidth="1"/>
    <col min="1539" max="1539" width="45.7109375" style="4" customWidth="1"/>
    <col min="1540" max="1540" width="0.140625" style="4" customWidth="1"/>
    <col min="1541" max="1541" width="13.5703125" style="4" customWidth="1"/>
    <col min="1542" max="1542" width="0.140625" style="4" customWidth="1"/>
    <col min="1543" max="1543" width="13.5703125" style="4" customWidth="1"/>
    <col min="1544" max="1544" width="0.140625" style="4" customWidth="1"/>
    <col min="1545" max="1545" width="13.5703125" style="4" customWidth="1"/>
    <col min="1546" max="1546" width="0.140625" style="4" customWidth="1"/>
    <col min="1547" max="1547" width="13.5703125" style="4" customWidth="1"/>
    <col min="1548" max="1550" width="0" style="4" hidden="1" customWidth="1"/>
    <col min="1551" max="1792" width="9.140625" style="4"/>
    <col min="1793" max="1793" width="0.28515625" style="4" customWidth="1"/>
    <col min="1794" max="1794" width="0.140625" style="4" customWidth="1"/>
    <col min="1795" max="1795" width="45.7109375" style="4" customWidth="1"/>
    <col min="1796" max="1796" width="0.140625" style="4" customWidth="1"/>
    <col min="1797" max="1797" width="13.5703125" style="4" customWidth="1"/>
    <col min="1798" max="1798" width="0.140625" style="4" customWidth="1"/>
    <col min="1799" max="1799" width="13.5703125" style="4" customWidth="1"/>
    <col min="1800" max="1800" width="0.140625" style="4" customWidth="1"/>
    <col min="1801" max="1801" width="13.5703125" style="4" customWidth="1"/>
    <col min="1802" max="1802" width="0.140625" style="4" customWidth="1"/>
    <col min="1803" max="1803" width="13.5703125" style="4" customWidth="1"/>
    <col min="1804" max="1806" width="0" style="4" hidden="1" customWidth="1"/>
    <col min="1807" max="2048" width="9.140625" style="4"/>
    <col min="2049" max="2049" width="0.28515625" style="4" customWidth="1"/>
    <col min="2050" max="2050" width="0.140625" style="4" customWidth="1"/>
    <col min="2051" max="2051" width="45.7109375" style="4" customWidth="1"/>
    <col min="2052" max="2052" width="0.140625" style="4" customWidth="1"/>
    <col min="2053" max="2053" width="13.5703125" style="4" customWidth="1"/>
    <col min="2054" max="2054" width="0.140625" style="4" customWidth="1"/>
    <col min="2055" max="2055" width="13.5703125" style="4" customWidth="1"/>
    <col min="2056" max="2056" width="0.140625" style="4" customWidth="1"/>
    <col min="2057" max="2057" width="13.5703125" style="4" customWidth="1"/>
    <col min="2058" max="2058" width="0.140625" style="4" customWidth="1"/>
    <col min="2059" max="2059" width="13.5703125" style="4" customWidth="1"/>
    <col min="2060" max="2062" width="0" style="4" hidden="1" customWidth="1"/>
    <col min="2063" max="2304" width="9.140625" style="4"/>
    <col min="2305" max="2305" width="0.28515625" style="4" customWidth="1"/>
    <col min="2306" max="2306" width="0.140625" style="4" customWidth="1"/>
    <col min="2307" max="2307" width="45.7109375" style="4" customWidth="1"/>
    <col min="2308" max="2308" width="0.140625" style="4" customWidth="1"/>
    <col min="2309" max="2309" width="13.5703125" style="4" customWidth="1"/>
    <col min="2310" max="2310" width="0.140625" style="4" customWidth="1"/>
    <col min="2311" max="2311" width="13.5703125" style="4" customWidth="1"/>
    <col min="2312" max="2312" width="0.140625" style="4" customWidth="1"/>
    <col min="2313" max="2313" width="13.5703125" style="4" customWidth="1"/>
    <col min="2314" max="2314" width="0.140625" style="4" customWidth="1"/>
    <col min="2315" max="2315" width="13.5703125" style="4" customWidth="1"/>
    <col min="2316" max="2318" width="0" style="4" hidden="1" customWidth="1"/>
    <col min="2319" max="2560" width="9.140625" style="4"/>
    <col min="2561" max="2561" width="0.28515625" style="4" customWidth="1"/>
    <col min="2562" max="2562" width="0.140625" style="4" customWidth="1"/>
    <col min="2563" max="2563" width="45.7109375" style="4" customWidth="1"/>
    <col min="2564" max="2564" width="0.140625" style="4" customWidth="1"/>
    <col min="2565" max="2565" width="13.5703125" style="4" customWidth="1"/>
    <col min="2566" max="2566" width="0.140625" style="4" customWidth="1"/>
    <col min="2567" max="2567" width="13.5703125" style="4" customWidth="1"/>
    <col min="2568" max="2568" width="0.140625" style="4" customWidth="1"/>
    <col min="2569" max="2569" width="13.5703125" style="4" customWidth="1"/>
    <col min="2570" max="2570" width="0.140625" style="4" customWidth="1"/>
    <col min="2571" max="2571" width="13.5703125" style="4" customWidth="1"/>
    <col min="2572" max="2574" width="0" style="4" hidden="1" customWidth="1"/>
    <col min="2575" max="2816" width="9.140625" style="4"/>
    <col min="2817" max="2817" width="0.28515625" style="4" customWidth="1"/>
    <col min="2818" max="2818" width="0.140625" style="4" customWidth="1"/>
    <col min="2819" max="2819" width="45.7109375" style="4" customWidth="1"/>
    <col min="2820" max="2820" width="0.140625" style="4" customWidth="1"/>
    <col min="2821" max="2821" width="13.5703125" style="4" customWidth="1"/>
    <col min="2822" max="2822" width="0.140625" style="4" customWidth="1"/>
    <col min="2823" max="2823" width="13.5703125" style="4" customWidth="1"/>
    <col min="2824" max="2824" width="0.140625" style="4" customWidth="1"/>
    <col min="2825" max="2825" width="13.5703125" style="4" customWidth="1"/>
    <col min="2826" max="2826" width="0.140625" style="4" customWidth="1"/>
    <col min="2827" max="2827" width="13.5703125" style="4" customWidth="1"/>
    <col min="2828" max="2830" width="0" style="4" hidden="1" customWidth="1"/>
    <col min="2831" max="3072" width="9.140625" style="4"/>
    <col min="3073" max="3073" width="0.28515625" style="4" customWidth="1"/>
    <col min="3074" max="3074" width="0.140625" style="4" customWidth="1"/>
    <col min="3075" max="3075" width="45.7109375" style="4" customWidth="1"/>
    <col min="3076" max="3076" width="0.140625" style="4" customWidth="1"/>
    <col min="3077" max="3077" width="13.5703125" style="4" customWidth="1"/>
    <col min="3078" max="3078" width="0.140625" style="4" customWidth="1"/>
    <col min="3079" max="3079" width="13.5703125" style="4" customWidth="1"/>
    <col min="3080" max="3080" width="0.140625" style="4" customWidth="1"/>
    <col min="3081" max="3081" width="13.5703125" style="4" customWidth="1"/>
    <col min="3082" max="3082" width="0.140625" style="4" customWidth="1"/>
    <col min="3083" max="3083" width="13.5703125" style="4" customWidth="1"/>
    <col min="3084" max="3086" width="0" style="4" hidden="1" customWidth="1"/>
    <col min="3087" max="3328" width="9.140625" style="4"/>
    <col min="3329" max="3329" width="0.28515625" style="4" customWidth="1"/>
    <col min="3330" max="3330" width="0.140625" style="4" customWidth="1"/>
    <col min="3331" max="3331" width="45.7109375" style="4" customWidth="1"/>
    <col min="3332" max="3332" width="0.140625" style="4" customWidth="1"/>
    <col min="3333" max="3333" width="13.5703125" style="4" customWidth="1"/>
    <col min="3334" max="3334" width="0.140625" style="4" customWidth="1"/>
    <col min="3335" max="3335" width="13.5703125" style="4" customWidth="1"/>
    <col min="3336" max="3336" width="0.140625" style="4" customWidth="1"/>
    <col min="3337" max="3337" width="13.5703125" style="4" customWidth="1"/>
    <col min="3338" max="3338" width="0.140625" style="4" customWidth="1"/>
    <col min="3339" max="3339" width="13.5703125" style="4" customWidth="1"/>
    <col min="3340" max="3342" width="0" style="4" hidden="1" customWidth="1"/>
    <col min="3343" max="3584" width="9.140625" style="4"/>
    <col min="3585" max="3585" width="0.28515625" style="4" customWidth="1"/>
    <col min="3586" max="3586" width="0.140625" style="4" customWidth="1"/>
    <col min="3587" max="3587" width="45.7109375" style="4" customWidth="1"/>
    <col min="3588" max="3588" width="0.140625" style="4" customWidth="1"/>
    <col min="3589" max="3589" width="13.5703125" style="4" customWidth="1"/>
    <col min="3590" max="3590" width="0.140625" style="4" customWidth="1"/>
    <col min="3591" max="3591" width="13.5703125" style="4" customWidth="1"/>
    <col min="3592" max="3592" width="0.140625" style="4" customWidth="1"/>
    <col min="3593" max="3593" width="13.5703125" style="4" customWidth="1"/>
    <col min="3594" max="3594" width="0.140625" style="4" customWidth="1"/>
    <col min="3595" max="3595" width="13.5703125" style="4" customWidth="1"/>
    <col min="3596" max="3598" width="0" style="4" hidden="1" customWidth="1"/>
    <col min="3599" max="3840" width="9.140625" style="4"/>
    <col min="3841" max="3841" width="0.28515625" style="4" customWidth="1"/>
    <col min="3842" max="3842" width="0.140625" style="4" customWidth="1"/>
    <col min="3843" max="3843" width="45.7109375" style="4" customWidth="1"/>
    <col min="3844" max="3844" width="0.140625" style="4" customWidth="1"/>
    <col min="3845" max="3845" width="13.5703125" style="4" customWidth="1"/>
    <col min="3846" max="3846" width="0.140625" style="4" customWidth="1"/>
    <col min="3847" max="3847" width="13.5703125" style="4" customWidth="1"/>
    <col min="3848" max="3848" width="0.140625" style="4" customWidth="1"/>
    <col min="3849" max="3849" width="13.5703125" style="4" customWidth="1"/>
    <col min="3850" max="3850" width="0.140625" style="4" customWidth="1"/>
    <col min="3851" max="3851" width="13.5703125" style="4" customWidth="1"/>
    <col min="3852" max="3854" width="0" style="4" hidden="1" customWidth="1"/>
    <col min="3855" max="4096" width="9.140625" style="4"/>
    <col min="4097" max="4097" width="0.28515625" style="4" customWidth="1"/>
    <col min="4098" max="4098" width="0.140625" style="4" customWidth="1"/>
    <col min="4099" max="4099" width="45.7109375" style="4" customWidth="1"/>
    <col min="4100" max="4100" width="0.140625" style="4" customWidth="1"/>
    <col min="4101" max="4101" width="13.5703125" style="4" customWidth="1"/>
    <col min="4102" max="4102" width="0.140625" style="4" customWidth="1"/>
    <col min="4103" max="4103" width="13.5703125" style="4" customWidth="1"/>
    <col min="4104" max="4104" width="0.140625" style="4" customWidth="1"/>
    <col min="4105" max="4105" width="13.5703125" style="4" customWidth="1"/>
    <col min="4106" max="4106" width="0.140625" style="4" customWidth="1"/>
    <col min="4107" max="4107" width="13.5703125" style="4" customWidth="1"/>
    <col min="4108" max="4110" width="0" style="4" hidden="1" customWidth="1"/>
    <col min="4111" max="4352" width="9.140625" style="4"/>
    <col min="4353" max="4353" width="0.28515625" style="4" customWidth="1"/>
    <col min="4354" max="4354" width="0.140625" style="4" customWidth="1"/>
    <col min="4355" max="4355" width="45.7109375" style="4" customWidth="1"/>
    <col min="4356" max="4356" width="0.140625" style="4" customWidth="1"/>
    <col min="4357" max="4357" width="13.5703125" style="4" customWidth="1"/>
    <col min="4358" max="4358" width="0.140625" style="4" customWidth="1"/>
    <col min="4359" max="4359" width="13.5703125" style="4" customWidth="1"/>
    <col min="4360" max="4360" width="0.140625" style="4" customWidth="1"/>
    <col min="4361" max="4361" width="13.5703125" style="4" customWidth="1"/>
    <col min="4362" max="4362" width="0.140625" style="4" customWidth="1"/>
    <col min="4363" max="4363" width="13.5703125" style="4" customWidth="1"/>
    <col min="4364" max="4366" width="0" style="4" hidden="1" customWidth="1"/>
    <col min="4367" max="4608" width="9.140625" style="4"/>
    <col min="4609" max="4609" width="0.28515625" style="4" customWidth="1"/>
    <col min="4610" max="4610" width="0.140625" style="4" customWidth="1"/>
    <col min="4611" max="4611" width="45.7109375" style="4" customWidth="1"/>
    <col min="4612" max="4612" width="0.140625" style="4" customWidth="1"/>
    <col min="4613" max="4613" width="13.5703125" style="4" customWidth="1"/>
    <col min="4614" max="4614" width="0.140625" style="4" customWidth="1"/>
    <col min="4615" max="4615" width="13.5703125" style="4" customWidth="1"/>
    <col min="4616" max="4616" width="0.140625" style="4" customWidth="1"/>
    <col min="4617" max="4617" width="13.5703125" style="4" customWidth="1"/>
    <col min="4618" max="4618" width="0.140625" style="4" customWidth="1"/>
    <col min="4619" max="4619" width="13.5703125" style="4" customWidth="1"/>
    <col min="4620" max="4622" width="0" style="4" hidden="1" customWidth="1"/>
    <col min="4623" max="4864" width="9.140625" style="4"/>
    <col min="4865" max="4865" width="0.28515625" style="4" customWidth="1"/>
    <col min="4866" max="4866" width="0.140625" style="4" customWidth="1"/>
    <col min="4867" max="4867" width="45.7109375" style="4" customWidth="1"/>
    <col min="4868" max="4868" width="0.140625" style="4" customWidth="1"/>
    <col min="4869" max="4869" width="13.5703125" style="4" customWidth="1"/>
    <col min="4870" max="4870" width="0.140625" style="4" customWidth="1"/>
    <col min="4871" max="4871" width="13.5703125" style="4" customWidth="1"/>
    <col min="4872" max="4872" width="0.140625" style="4" customWidth="1"/>
    <col min="4873" max="4873" width="13.5703125" style="4" customWidth="1"/>
    <col min="4874" max="4874" width="0.140625" style="4" customWidth="1"/>
    <col min="4875" max="4875" width="13.5703125" style="4" customWidth="1"/>
    <col min="4876" max="4878" width="0" style="4" hidden="1" customWidth="1"/>
    <col min="4879" max="5120" width="9.140625" style="4"/>
    <col min="5121" max="5121" width="0.28515625" style="4" customWidth="1"/>
    <col min="5122" max="5122" width="0.140625" style="4" customWidth="1"/>
    <col min="5123" max="5123" width="45.7109375" style="4" customWidth="1"/>
    <col min="5124" max="5124" width="0.140625" style="4" customWidth="1"/>
    <col min="5125" max="5125" width="13.5703125" style="4" customWidth="1"/>
    <col min="5126" max="5126" width="0.140625" style="4" customWidth="1"/>
    <col min="5127" max="5127" width="13.5703125" style="4" customWidth="1"/>
    <col min="5128" max="5128" width="0.140625" style="4" customWidth="1"/>
    <col min="5129" max="5129" width="13.5703125" style="4" customWidth="1"/>
    <col min="5130" max="5130" width="0.140625" style="4" customWidth="1"/>
    <col min="5131" max="5131" width="13.5703125" style="4" customWidth="1"/>
    <col min="5132" max="5134" width="0" style="4" hidden="1" customWidth="1"/>
    <col min="5135" max="5376" width="9.140625" style="4"/>
    <col min="5377" max="5377" width="0.28515625" style="4" customWidth="1"/>
    <col min="5378" max="5378" width="0.140625" style="4" customWidth="1"/>
    <col min="5379" max="5379" width="45.7109375" style="4" customWidth="1"/>
    <col min="5380" max="5380" width="0.140625" style="4" customWidth="1"/>
    <col min="5381" max="5381" width="13.5703125" style="4" customWidth="1"/>
    <col min="5382" max="5382" width="0.140625" style="4" customWidth="1"/>
    <col min="5383" max="5383" width="13.5703125" style="4" customWidth="1"/>
    <col min="5384" max="5384" width="0.140625" style="4" customWidth="1"/>
    <col min="5385" max="5385" width="13.5703125" style="4" customWidth="1"/>
    <col min="5386" max="5386" width="0.140625" style="4" customWidth="1"/>
    <col min="5387" max="5387" width="13.5703125" style="4" customWidth="1"/>
    <col min="5388" max="5390" width="0" style="4" hidden="1" customWidth="1"/>
    <col min="5391" max="5632" width="9.140625" style="4"/>
    <col min="5633" max="5633" width="0.28515625" style="4" customWidth="1"/>
    <col min="5634" max="5634" width="0.140625" style="4" customWidth="1"/>
    <col min="5635" max="5635" width="45.7109375" style="4" customWidth="1"/>
    <col min="5636" max="5636" width="0.140625" style="4" customWidth="1"/>
    <col min="5637" max="5637" width="13.5703125" style="4" customWidth="1"/>
    <col min="5638" max="5638" width="0.140625" style="4" customWidth="1"/>
    <col min="5639" max="5639" width="13.5703125" style="4" customWidth="1"/>
    <col min="5640" max="5640" width="0.140625" style="4" customWidth="1"/>
    <col min="5641" max="5641" width="13.5703125" style="4" customWidth="1"/>
    <col min="5642" max="5642" width="0.140625" style="4" customWidth="1"/>
    <col min="5643" max="5643" width="13.5703125" style="4" customWidth="1"/>
    <col min="5644" max="5646" width="0" style="4" hidden="1" customWidth="1"/>
    <col min="5647" max="5888" width="9.140625" style="4"/>
    <col min="5889" max="5889" width="0.28515625" style="4" customWidth="1"/>
    <col min="5890" max="5890" width="0.140625" style="4" customWidth="1"/>
    <col min="5891" max="5891" width="45.7109375" style="4" customWidth="1"/>
    <col min="5892" max="5892" width="0.140625" style="4" customWidth="1"/>
    <col min="5893" max="5893" width="13.5703125" style="4" customWidth="1"/>
    <col min="5894" max="5894" width="0.140625" style="4" customWidth="1"/>
    <col min="5895" max="5895" width="13.5703125" style="4" customWidth="1"/>
    <col min="5896" max="5896" width="0.140625" style="4" customWidth="1"/>
    <col min="5897" max="5897" width="13.5703125" style="4" customWidth="1"/>
    <col min="5898" max="5898" width="0.140625" style="4" customWidth="1"/>
    <col min="5899" max="5899" width="13.5703125" style="4" customWidth="1"/>
    <col min="5900" max="5902" width="0" style="4" hidden="1" customWidth="1"/>
    <col min="5903" max="6144" width="9.140625" style="4"/>
    <col min="6145" max="6145" width="0.28515625" style="4" customWidth="1"/>
    <col min="6146" max="6146" width="0.140625" style="4" customWidth="1"/>
    <col min="6147" max="6147" width="45.7109375" style="4" customWidth="1"/>
    <col min="6148" max="6148" width="0.140625" style="4" customWidth="1"/>
    <col min="6149" max="6149" width="13.5703125" style="4" customWidth="1"/>
    <col min="6150" max="6150" width="0.140625" style="4" customWidth="1"/>
    <col min="6151" max="6151" width="13.5703125" style="4" customWidth="1"/>
    <col min="6152" max="6152" width="0.140625" style="4" customWidth="1"/>
    <col min="6153" max="6153" width="13.5703125" style="4" customWidth="1"/>
    <col min="6154" max="6154" width="0.140625" style="4" customWidth="1"/>
    <col min="6155" max="6155" width="13.5703125" style="4" customWidth="1"/>
    <col min="6156" max="6158" width="0" style="4" hidden="1" customWidth="1"/>
    <col min="6159" max="6400" width="9.140625" style="4"/>
    <col min="6401" max="6401" width="0.28515625" style="4" customWidth="1"/>
    <col min="6402" max="6402" width="0.140625" style="4" customWidth="1"/>
    <col min="6403" max="6403" width="45.7109375" style="4" customWidth="1"/>
    <col min="6404" max="6404" width="0.140625" style="4" customWidth="1"/>
    <col min="6405" max="6405" width="13.5703125" style="4" customWidth="1"/>
    <col min="6406" max="6406" width="0.140625" style="4" customWidth="1"/>
    <col min="6407" max="6407" width="13.5703125" style="4" customWidth="1"/>
    <col min="6408" max="6408" width="0.140625" style="4" customWidth="1"/>
    <col min="6409" max="6409" width="13.5703125" style="4" customWidth="1"/>
    <col min="6410" max="6410" width="0.140625" style="4" customWidth="1"/>
    <col min="6411" max="6411" width="13.5703125" style="4" customWidth="1"/>
    <col min="6412" max="6414" width="0" style="4" hidden="1" customWidth="1"/>
    <col min="6415" max="6656" width="9.140625" style="4"/>
    <col min="6657" max="6657" width="0.28515625" style="4" customWidth="1"/>
    <col min="6658" max="6658" width="0.140625" style="4" customWidth="1"/>
    <col min="6659" max="6659" width="45.7109375" style="4" customWidth="1"/>
    <col min="6660" max="6660" width="0.140625" style="4" customWidth="1"/>
    <col min="6661" max="6661" width="13.5703125" style="4" customWidth="1"/>
    <col min="6662" max="6662" width="0.140625" style="4" customWidth="1"/>
    <col min="6663" max="6663" width="13.5703125" style="4" customWidth="1"/>
    <col min="6664" max="6664" width="0.140625" style="4" customWidth="1"/>
    <col min="6665" max="6665" width="13.5703125" style="4" customWidth="1"/>
    <col min="6666" max="6666" width="0.140625" style="4" customWidth="1"/>
    <col min="6667" max="6667" width="13.5703125" style="4" customWidth="1"/>
    <col min="6668" max="6670" width="0" style="4" hidden="1" customWidth="1"/>
    <col min="6671" max="6912" width="9.140625" style="4"/>
    <col min="6913" max="6913" width="0.28515625" style="4" customWidth="1"/>
    <col min="6914" max="6914" width="0.140625" style="4" customWidth="1"/>
    <col min="6915" max="6915" width="45.7109375" style="4" customWidth="1"/>
    <col min="6916" max="6916" width="0.140625" style="4" customWidth="1"/>
    <col min="6917" max="6917" width="13.5703125" style="4" customWidth="1"/>
    <col min="6918" max="6918" width="0.140625" style="4" customWidth="1"/>
    <col min="6919" max="6919" width="13.5703125" style="4" customWidth="1"/>
    <col min="6920" max="6920" width="0.140625" style="4" customWidth="1"/>
    <col min="6921" max="6921" width="13.5703125" style="4" customWidth="1"/>
    <col min="6922" max="6922" width="0.140625" style="4" customWidth="1"/>
    <col min="6923" max="6923" width="13.5703125" style="4" customWidth="1"/>
    <col min="6924" max="6926" width="0" style="4" hidden="1" customWidth="1"/>
    <col min="6927" max="7168" width="9.140625" style="4"/>
    <col min="7169" max="7169" width="0.28515625" style="4" customWidth="1"/>
    <col min="7170" max="7170" width="0.140625" style="4" customWidth="1"/>
    <col min="7171" max="7171" width="45.7109375" style="4" customWidth="1"/>
    <col min="7172" max="7172" width="0.140625" style="4" customWidth="1"/>
    <col min="7173" max="7173" width="13.5703125" style="4" customWidth="1"/>
    <col min="7174" max="7174" width="0.140625" style="4" customWidth="1"/>
    <col min="7175" max="7175" width="13.5703125" style="4" customWidth="1"/>
    <col min="7176" max="7176" width="0.140625" style="4" customWidth="1"/>
    <col min="7177" max="7177" width="13.5703125" style="4" customWidth="1"/>
    <col min="7178" max="7178" width="0.140625" style="4" customWidth="1"/>
    <col min="7179" max="7179" width="13.5703125" style="4" customWidth="1"/>
    <col min="7180" max="7182" width="0" style="4" hidden="1" customWidth="1"/>
    <col min="7183" max="7424" width="9.140625" style="4"/>
    <col min="7425" max="7425" width="0.28515625" style="4" customWidth="1"/>
    <col min="7426" max="7426" width="0.140625" style="4" customWidth="1"/>
    <col min="7427" max="7427" width="45.7109375" style="4" customWidth="1"/>
    <col min="7428" max="7428" width="0.140625" style="4" customWidth="1"/>
    <col min="7429" max="7429" width="13.5703125" style="4" customWidth="1"/>
    <col min="7430" max="7430" width="0.140625" style="4" customWidth="1"/>
    <col min="7431" max="7431" width="13.5703125" style="4" customWidth="1"/>
    <col min="7432" max="7432" width="0.140625" style="4" customWidth="1"/>
    <col min="7433" max="7433" width="13.5703125" style="4" customWidth="1"/>
    <col min="7434" max="7434" width="0.140625" style="4" customWidth="1"/>
    <col min="7435" max="7435" width="13.5703125" style="4" customWidth="1"/>
    <col min="7436" max="7438" width="0" style="4" hidden="1" customWidth="1"/>
    <col min="7439" max="7680" width="9.140625" style="4"/>
    <col min="7681" max="7681" width="0.28515625" style="4" customWidth="1"/>
    <col min="7682" max="7682" width="0.140625" style="4" customWidth="1"/>
    <col min="7683" max="7683" width="45.7109375" style="4" customWidth="1"/>
    <col min="7684" max="7684" width="0.140625" style="4" customWidth="1"/>
    <col min="7685" max="7685" width="13.5703125" style="4" customWidth="1"/>
    <col min="7686" max="7686" width="0.140625" style="4" customWidth="1"/>
    <col min="7687" max="7687" width="13.5703125" style="4" customWidth="1"/>
    <col min="7688" max="7688" width="0.140625" style="4" customWidth="1"/>
    <col min="7689" max="7689" width="13.5703125" style="4" customWidth="1"/>
    <col min="7690" max="7690" width="0.140625" style="4" customWidth="1"/>
    <col min="7691" max="7691" width="13.5703125" style="4" customWidth="1"/>
    <col min="7692" max="7694" width="0" style="4" hidden="1" customWidth="1"/>
    <col min="7695" max="7936" width="9.140625" style="4"/>
    <col min="7937" max="7937" width="0.28515625" style="4" customWidth="1"/>
    <col min="7938" max="7938" width="0.140625" style="4" customWidth="1"/>
    <col min="7939" max="7939" width="45.7109375" style="4" customWidth="1"/>
    <col min="7940" max="7940" width="0.140625" style="4" customWidth="1"/>
    <col min="7941" max="7941" width="13.5703125" style="4" customWidth="1"/>
    <col min="7942" max="7942" width="0.140625" style="4" customWidth="1"/>
    <col min="7943" max="7943" width="13.5703125" style="4" customWidth="1"/>
    <col min="7944" max="7944" width="0.140625" style="4" customWidth="1"/>
    <col min="7945" max="7945" width="13.5703125" style="4" customWidth="1"/>
    <col min="7946" max="7946" width="0.140625" style="4" customWidth="1"/>
    <col min="7947" max="7947" width="13.5703125" style="4" customWidth="1"/>
    <col min="7948" max="7950" width="0" style="4" hidden="1" customWidth="1"/>
    <col min="7951" max="8192" width="9.140625" style="4"/>
    <col min="8193" max="8193" width="0.28515625" style="4" customWidth="1"/>
    <col min="8194" max="8194" width="0.140625" style="4" customWidth="1"/>
    <col min="8195" max="8195" width="45.7109375" style="4" customWidth="1"/>
    <col min="8196" max="8196" width="0.140625" style="4" customWidth="1"/>
    <col min="8197" max="8197" width="13.5703125" style="4" customWidth="1"/>
    <col min="8198" max="8198" width="0.140625" style="4" customWidth="1"/>
    <col min="8199" max="8199" width="13.5703125" style="4" customWidth="1"/>
    <col min="8200" max="8200" width="0.140625" style="4" customWidth="1"/>
    <col min="8201" max="8201" width="13.5703125" style="4" customWidth="1"/>
    <col min="8202" max="8202" width="0.140625" style="4" customWidth="1"/>
    <col min="8203" max="8203" width="13.5703125" style="4" customWidth="1"/>
    <col min="8204" max="8206" width="0" style="4" hidden="1" customWidth="1"/>
    <col min="8207" max="8448" width="9.140625" style="4"/>
    <col min="8449" max="8449" width="0.28515625" style="4" customWidth="1"/>
    <col min="8450" max="8450" width="0.140625" style="4" customWidth="1"/>
    <col min="8451" max="8451" width="45.7109375" style="4" customWidth="1"/>
    <col min="8452" max="8452" width="0.140625" style="4" customWidth="1"/>
    <col min="8453" max="8453" width="13.5703125" style="4" customWidth="1"/>
    <col min="8454" max="8454" width="0.140625" style="4" customWidth="1"/>
    <col min="8455" max="8455" width="13.5703125" style="4" customWidth="1"/>
    <col min="8456" max="8456" width="0.140625" style="4" customWidth="1"/>
    <col min="8457" max="8457" width="13.5703125" style="4" customWidth="1"/>
    <col min="8458" max="8458" width="0.140625" style="4" customWidth="1"/>
    <col min="8459" max="8459" width="13.5703125" style="4" customWidth="1"/>
    <col min="8460" max="8462" width="0" style="4" hidden="1" customWidth="1"/>
    <col min="8463" max="8704" width="9.140625" style="4"/>
    <col min="8705" max="8705" width="0.28515625" style="4" customWidth="1"/>
    <col min="8706" max="8706" width="0.140625" style="4" customWidth="1"/>
    <col min="8707" max="8707" width="45.7109375" style="4" customWidth="1"/>
    <col min="8708" max="8708" width="0.140625" style="4" customWidth="1"/>
    <col min="8709" max="8709" width="13.5703125" style="4" customWidth="1"/>
    <col min="8710" max="8710" width="0.140625" style="4" customWidth="1"/>
    <col min="8711" max="8711" width="13.5703125" style="4" customWidth="1"/>
    <col min="8712" max="8712" width="0.140625" style="4" customWidth="1"/>
    <col min="8713" max="8713" width="13.5703125" style="4" customWidth="1"/>
    <col min="8714" max="8714" width="0.140625" style="4" customWidth="1"/>
    <col min="8715" max="8715" width="13.5703125" style="4" customWidth="1"/>
    <col min="8716" max="8718" width="0" style="4" hidden="1" customWidth="1"/>
    <col min="8719" max="8960" width="9.140625" style="4"/>
    <col min="8961" max="8961" width="0.28515625" style="4" customWidth="1"/>
    <col min="8962" max="8962" width="0.140625" style="4" customWidth="1"/>
    <col min="8963" max="8963" width="45.7109375" style="4" customWidth="1"/>
    <col min="8964" max="8964" width="0.140625" style="4" customWidth="1"/>
    <col min="8965" max="8965" width="13.5703125" style="4" customWidth="1"/>
    <col min="8966" max="8966" width="0.140625" style="4" customWidth="1"/>
    <col min="8967" max="8967" width="13.5703125" style="4" customWidth="1"/>
    <col min="8968" max="8968" width="0.140625" style="4" customWidth="1"/>
    <col min="8969" max="8969" width="13.5703125" style="4" customWidth="1"/>
    <col min="8970" max="8970" width="0.140625" style="4" customWidth="1"/>
    <col min="8971" max="8971" width="13.5703125" style="4" customWidth="1"/>
    <col min="8972" max="8974" width="0" style="4" hidden="1" customWidth="1"/>
    <col min="8975" max="9216" width="9.140625" style="4"/>
    <col min="9217" max="9217" width="0.28515625" style="4" customWidth="1"/>
    <col min="9218" max="9218" width="0.140625" style="4" customWidth="1"/>
    <col min="9219" max="9219" width="45.7109375" style="4" customWidth="1"/>
    <col min="9220" max="9220" width="0.140625" style="4" customWidth="1"/>
    <col min="9221" max="9221" width="13.5703125" style="4" customWidth="1"/>
    <col min="9222" max="9222" width="0.140625" style="4" customWidth="1"/>
    <col min="9223" max="9223" width="13.5703125" style="4" customWidth="1"/>
    <col min="9224" max="9224" width="0.140625" style="4" customWidth="1"/>
    <col min="9225" max="9225" width="13.5703125" style="4" customWidth="1"/>
    <col min="9226" max="9226" width="0.140625" style="4" customWidth="1"/>
    <col min="9227" max="9227" width="13.5703125" style="4" customWidth="1"/>
    <col min="9228" max="9230" width="0" style="4" hidden="1" customWidth="1"/>
    <col min="9231" max="9472" width="9.140625" style="4"/>
    <col min="9473" max="9473" width="0.28515625" style="4" customWidth="1"/>
    <col min="9474" max="9474" width="0.140625" style="4" customWidth="1"/>
    <col min="9475" max="9475" width="45.7109375" style="4" customWidth="1"/>
    <col min="9476" max="9476" width="0.140625" style="4" customWidth="1"/>
    <col min="9477" max="9477" width="13.5703125" style="4" customWidth="1"/>
    <col min="9478" max="9478" width="0.140625" style="4" customWidth="1"/>
    <col min="9479" max="9479" width="13.5703125" style="4" customWidth="1"/>
    <col min="9480" max="9480" width="0.140625" style="4" customWidth="1"/>
    <col min="9481" max="9481" width="13.5703125" style="4" customWidth="1"/>
    <col min="9482" max="9482" width="0.140625" style="4" customWidth="1"/>
    <col min="9483" max="9483" width="13.5703125" style="4" customWidth="1"/>
    <col min="9484" max="9486" width="0" style="4" hidden="1" customWidth="1"/>
    <col min="9487" max="9728" width="9.140625" style="4"/>
    <col min="9729" max="9729" width="0.28515625" style="4" customWidth="1"/>
    <col min="9730" max="9730" width="0.140625" style="4" customWidth="1"/>
    <col min="9731" max="9731" width="45.7109375" style="4" customWidth="1"/>
    <col min="9732" max="9732" width="0.140625" style="4" customWidth="1"/>
    <col min="9733" max="9733" width="13.5703125" style="4" customWidth="1"/>
    <col min="9734" max="9734" width="0.140625" style="4" customWidth="1"/>
    <col min="9735" max="9735" width="13.5703125" style="4" customWidth="1"/>
    <col min="9736" max="9736" width="0.140625" style="4" customWidth="1"/>
    <col min="9737" max="9737" width="13.5703125" style="4" customWidth="1"/>
    <col min="9738" max="9738" width="0.140625" style="4" customWidth="1"/>
    <col min="9739" max="9739" width="13.5703125" style="4" customWidth="1"/>
    <col min="9740" max="9742" width="0" style="4" hidden="1" customWidth="1"/>
    <col min="9743" max="9984" width="9.140625" style="4"/>
    <col min="9985" max="9985" width="0.28515625" style="4" customWidth="1"/>
    <col min="9986" max="9986" width="0.140625" style="4" customWidth="1"/>
    <col min="9987" max="9987" width="45.7109375" style="4" customWidth="1"/>
    <col min="9988" max="9988" width="0.140625" style="4" customWidth="1"/>
    <col min="9989" max="9989" width="13.5703125" style="4" customWidth="1"/>
    <col min="9990" max="9990" width="0.140625" style="4" customWidth="1"/>
    <col min="9991" max="9991" width="13.5703125" style="4" customWidth="1"/>
    <col min="9992" max="9992" width="0.140625" style="4" customWidth="1"/>
    <col min="9993" max="9993" width="13.5703125" style="4" customWidth="1"/>
    <col min="9994" max="9994" width="0.140625" style="4" customWidth="1"/>
    <col min="9995" max="9995" width="13.5703125" style="4" customWidth="1"/>
    <col min="9996" max="9998" width="0" style="4" hidden="1" customWidth="1"/>
    <col min="9999" max="10240" width="9.140625" style="4"/>
    <col min="10241" max="10241" width="0.28515625" style="4" customWidth="1"/>
    <col min="10242" max="10242" width="0.140625" style="4" customWidth="1"/>
    <col min="10243" max="10243" width="45.7109375" style="4" customWidth="1"/>
    <col min="10244" max="10244" width="0.140625" style="4" customWidth="1"/>
    <col min="10245" max="10245" width="13.5703125" style="4" customWidth="1"/>
    <col min="10246" max="10246" width="0.140625" style="4" customWidth="1"/>
    <col min="10247" max="10247" width="13.5703125" style="4" customWidth="1"/>
    <col min="10248" max="10248" width="0.140625" style="4" customWidth="1"/>
    <col min="10249" max="10249" width="13.5703125" style="4" customWidth="1"/>
    <col min="10250" max="10250" width="0.140625" style="4" customWidth="1"/>
    <col min="10251" max="10251" width="13.5703125" style="4" customWidth="1"/>
    <col min="10252" max="10254" width="0" style="4" hidden="1" customWidth="1"/>
    <col min="10255" max="10496" width="9.140625" style="4"/>
    <col min="10497" max="10497" width="0.28515625" style="4" customWidth="1"/>
    <col min="10498" max="10498" width="0.140625" style="4" customWidth="1"/>
    <col min="10499" max="10499" width="45.7109375" style="4" customWidth="1"/>
    <col min="10500" max="10500" width="0.140625" style="4" customWidth="1"/>
    <col min="10501" max="10501" width="13.5703125" style="4" customWidth="1"/>
    <col min="10502" max="10502" width="0.140625" style="4" customWidth="1"/>
    <col min="10503" max="10503" width="13.5703125" style="4" customWidth="1"/>
    <col min="10504" max="10504" width="0.140625" style="4" customWidth="1"/>
    <col min="10505" max="10505" width="13.5703125" style="4" customWidth="1"/>
    <col min="10506" max="10506" width="0.140625" style="4" customWidth="1"/>
    <col min="10507" max="10507" width="13.5703125" style="4" customWidth="1"/>
    <col min="10508" max="10510" width="0" style="4" hidden="1" customWidth="1"/>
    <col min="10511" max="10752" width="9.140625" style="4"/>
    <col min="10753" max="10753" width="0.28515625" style="4" customWidth="1"/>
    <col min="10754" max="10754" width="0.140625" style="4" customWidth="1"/>
    <col min="10755" max="10755" width="45.7109375" style="4" customWidth="1"/>
    <col min="10756" max="10756" width="0.140625" style="4" customWidth="1"/>
    <col min="10757" max="10757" width="13.5703125" style="4" customWidth="1"/>
    <col min="10758" max="10758" width="0.140625" style="4" customWidth="1"/>
    <col min="10759" max="10759" width="13.5703125" style="4" customWidth="1"/>
    <col min="10760" max="10760" width="0.140625" style="4" customWidth="1"/>
    <col min="10761" max="10761" width="13.5703125" style="4" customWidth="1"/>
    <col min="10762" max="10762" width="0.140625" style="4" customWidth="1"/>
    <col min="10763" max="10763" width="13.5703125" style="4" customWidth="1"/>
    <col min="10764" max="10766" width="0" style="4" hidden="1" customWidth="1"/>
    <col min="10767" max="11008" width="9.140625" style="4"/>
    <col min="11009" max="11009" width="0.28515625" style="4" customWidth="1"/>
    <col min="11010" max="11010" width="0.140625" style="4" customWidth="1"/>
    <col min="11011" max="11011" width="45.7109375" style="4" customWidth="1"/>
    <col min="11012" max="11012" width="0.140625" style="4" customWidth="1"/>
    <col min="11013" max="11013" width="13.5703125" style="4" customWidth="1"/>
    <col min="11014" max="11014" width="0.140625" style="4" customWidth="1"/>
    <col min="11015" max="11015" width="13.5703125" style="4" customWidth="1"/>
    <col min="11016" max="11016" width="0.140625" style="4" customWidth="1"/>
    <col min="11017" max="11017" width="13.5703125" style="4" customWidth="1"/>
    <col min="11018" max="11018" width="0.140625" style="4" customWidth="1"/>
    <col min="11019" max="11019" width="13.5703125" style="4" customWidth="1"/>
    <col min="11020" max="11022" width="0" style="4" hidden="1" customWidth="1"/>
    <col min="11023" max="11264" width="9.140625" style="4"/>
    <col min="11265" max="11265" width="0.28515625" style="4" customWidth="1"/>
    <col min="11266" max="11266" width="0.140625" style="4" customWidth="1"/>
    <col min="11267" max="11267" width="45.7109375" style="4" customWidth="1"/>
    <col min="11268" max="11268" width="0.140625" style="4" customWidth="1"/>
    <col min="11269" max="11269" width="13.5703125" style="4" customWidth="1"/>
    <col min="11270" max="11270" width="0.140625" style="4" customWidth="1"/>
    <col min="11271" max="11271" width="13.5703125" style="4" customWidth="1"/>
    <col min="11272" max="11272" width="0.140625" style="4" customWidth="1"/>
    <col min="11273" max="11273" width="13.5703125" style="4" customWidth="1"/>
    <col min="11274" max="11274" width="0.140625" style="4" customWidth="1"/>
    <col min="11275" max="11275" width="13.5703125" style="4" customWidth="1"/>
    <col min="11276" max="11278" width="0" style="4" hidden="1" customWidth="1"/>
    <col min="11279" max="11520" width="9.140625" style="4"/>
    <col min="11521" max="11521" width="0.28515625" style="4" customWidth="1"/>
    <col min="11522" max="11522" width="0.140625" style="4" customWidth="1"/>
    <col min="11523" max="11523" width="45.7109375" style="4" customWidth="1"/>
    <col min="11524" max="11524" width="0.140625" style="4" customWidth="1"/>
    <col min="11525" max="11525" width="13.5703125" style="4" customWidth="1"/>
    <col min="11526" max="11526" width="0.140625" style="4" customWidth="1"/>
    <col min="11527" max="11527" width="13.5703125" style="4" customWidth="1"/>
    <col min="11528" max="11528" width="0.140625" style="4" customWidth="1"/>
    <col min="11529" max="11529" width="13.5703125" style="4" customWidth="1"/>
    <col min="11530" max="11530" width="0.140625" style="4" customWidth="1"/>
    <col min="11531" max="11531" width="13.5703125" style="4" customWidth="1"/>
    <col min="11532" max="11534" width="0" style="4" hidden="1" customWidth="1"/>
    <col min="11535" max="11776" width="9.140625" style="4"/>
    <col min="11777" max="11777" width="0.28515625" style="4" customWidth="1"/>
    <col min="11778" max="11778" width="0.140625" style="4" customWidth="1"/>
    <col min="11779" max="11779" width="45.7109375" style="4" customWidth="1"/>
    <col min="11780" max="11780" width="0.140625" style="4" customWidth="1"/>
    <col min="11781" max="11781" width="13.5703125" style="4" customWidth="1"/>
    <col min="11782" max="11782" width="0.140625" style="4" customWidth="1"/>
    <col min="11783" max="11783" width="13.5703125" style="4" customWidth="1"/>
    <col min="11784" max="11784" width="0.140625" style="4" customWidth="1"/>
    <col min="11785" max="11785" width="13.5703125" style="4" customWidth="1"/>
    <col min="11786" max="11786" width="0.140625" style="4" customWidth="1"/>
    <col min="11787" max="11787" width="13.5703125" style="4" customWidth="1"/>
    <col min="11788" max="11790" width="0" style="4" hidden="1" customWidth="1"/>
    <col min="11791" max="12032" width="9.140625" style="4"/>
    <col min="12033" max="12033" width="0.28515625" style="4" customWidth="1"/>
    <col min="12034" max="12034" width="0.140625" style="4" customWidth="1"/>
    <col min="12035" max="12035" width="45.7109375" style="4" customWidth="1"/>
    <col min="12036" max="12036" width="0.140625" style="4" customWidth="1"/>
    <col min="12037" max="12037" width="13.5703125" style="4" customWidth="1"/>
    <col min="12038" max="12038" width="0.140625" style="4" customWidth="1"/>
    <col min="12039" max="12039" width="13.5703125" style="4" customWidth="1"/>
    <col min="12040" max="12040" width="0.140625" style="4" customWidth="1"/>
    <col min="12041" max="12041" width="13.5703125" style="4" customWidth="1"/>
    <col min="12042" max="12042" width="0.140625" style="4" customWidth="1"/>
    <col min="12043" max="12043" width="13.5703125" style="4" customWidth="1"/>
    <col min="12044" max="12046" width="0" style="4" hidden="1" customWidth="1"/>
    <col min="12047" max="12288" width="9.140625" style="4"/>
    <col min="12289" max="12289" width="0.28515625" style="4" customWidth="1"/>
    <col min="12290" max="12290" width="0.140625" style="4" customWidth="1"/>
    <col min="12291" max="12291" width="45.7109375" style="4" customWidth="1"/>
    <col min="12292" max="12292" width="0.140625" style="4" customWidth="1"/>
    <col min="12293" max="12293" width="13.5703125" style="4" customWidth="1"/>
    <col min="12294" max="12294" width="0.140625" style="4" customWidth="1"/>
    <col min="12295" max="12295" width="13.5703125" style="4" customWidth="1"/>
    <col min="12296" max="12296" width="0.140625" style="4" customWidth="1"/>
    <col min="12297" max="12297" width="13.5703125" style="4" customWidth="1"/>
    <col min="12298" max="12298" width="0.140625" style="4" customWidth="1"/>
    <col min="12299" max="12299" width="13.5703125" style="4" customWidth="1"/>
    <col min="12300" max="12302" width="0" style="4" hidden="1" customWidth="1"/>
    <col min="12303" max="12544" width="9.140625" style="4"/>
    <col min="12545" max="12545" width="0.28515625" style="4" customWidth="1"/>
    <col min="12546" max="12546" width="0.140625" style="4" customWidth="1"/>
    <col min="12547" max="12547" width="45.7109375" style="4" customWidth="1"/>
    <col min="12548" max="12548" width="0.140625" style="4" customWidth="1"/>
    <col min="12549" max="12549" width="13.5703125" style="4" customWidth="1"/>
    <col min="12550" max="12550" width="0.140625" style="4" customWidth="1"/>
    <col min="12551" max="12551" width="13.5703125" style="4" customWidth="1"/>
    <col min="12552" max="12552" width="0.140625" style="4" customWidth="1"/>
    <col min="12553" max="12553" width="13.5703125" style="4" customWidth="1"/>
    <col min="12554" max="12554" width="0.140625" style="4" customWidth="1"/>
    <col min="12555" max="12555" width="13.5703125" style="4" customWidth="1"/>
    <col min="12556" max="12558" width="0" style="4" hidden="1" customWidth="1"/>
    <col min="12559" max="12800" width="9.140625" style="4"/>
    <col min="12801" max="12801" width="0.28515625" style="4" customWidth="1"/>
    <col min="12802" max="12802" width="0.140625" style="4" customWidth="1"/>
    <col min="12803" max="12803" width="45.7109375" style="4" customWidth="1"/>
    <col min="12804" max="12804" width="0.140625" style="4" customWidth="1"/>
    <col min="12805" max="12805" width="13.5703125" style="4" customWidth="1"/>
    <col min="12806" max="12806" width="0.140625" style="4" customWidth="1"/>
    <col min="12807" max="12807" width="13.5703125" style="4" customWidth="1"/>
    <col min="12808" max="12808" width="0.140625" style="4" customWidth="1"/>
    <col min="12809" max="12809" width="13.5703125" style="4" customWidth="1"/>
    <col min="12810" max="12810" width="0.140625" style="4" customWidth="1"/>
    <col min="12811" max="12811" width="13.5703125" style="4" customWidth="1"/>
    <col min="12812" max="12814" width="0" style="4" hidden="1" customWidth="1"/>
    <col min="12815" max="13056" width="9.140625" style="4"/>
    <col min="13057" max="13057" width="0.28515625" style="4" customWidth="1"/>
    <col min="13058" max="13058" width="0.140625" style="4" customWidth="1"/>
    <col min="13059" max="13059" width="45.7109375" style="4" customWidth="1"/>
    <col min="13060" max="13060" width="0.140625" style="4" customWidth="1"/>
    <col min="13061" max="13061" width="13.5703125" style="4" customWidth="1"/>
    <col min="13062" max="13062" width="0.140625" style="4" customWidth="1"/>
    <col min="13063" max="13063" width="13.5703125" style="4" customWidth="1"/>
    <col min="13064" max="13064" width="0.140625" style="4" customWidth="1"/>
    <col min="13065" max="13065" width="13.5703125" style="4" customWidth="1"/>
    <col min="13066" max="13066" width="0.140625" style="4" customWidth="1"/>
    <col min="13067" max="13067" width="13.5703125" style="4" customWidth="1"/>
    <col min="13068" max="13070" width="0" style="4" hidden="1" customWidth="1"/>
    <col min="13071" max="13312" width="9.140625" style="4"/>
    <col min="13313" max="13313" width="0.28515625" style="4" customWidth="1"/>
    <col min="13314" max="13314" width="0.140625" style="4" customWidth="1"/>
    <col min="13315" max="13315" width="45.7109375" style="4" customWidth="1"/>
    <col min="13316" max="13316" width="0.140625" style="4" customWidth="1"/>
    <col min="13317" max="13317" width="13.5703125" style="4" customWidth="1"/>
    <col min="13318" max="13318" width="0.140625" style="4" customWidth="1"/>
    <col min="13319" max="13319" width="13.5703125" style="4" customWidth="1"/>
    <col min="13320" max="13320" width="0.140625" style="4" customWidth="1"/>
    <col min="13321" max="13321" width="13.5703125" style="4" customWidth="1"/>
    <col min="13322" max="13322" width="0.140625" style="4" customWidth="1"/>
    <col min="13323" max="13323" width="13.5703125" style="4" customWidth="1"/>
    <col min="13324" max="13326" width="0" style="4" hidden="1" customWidth="1"/>
    <col min="13327" max="13568" width="9.140625" style="4"/>
    <col min="13569" max="13569" width="0.28515625" style="4" customWidth="1"/>
    <col min="13570" max="13570" width="0.140625" style="4" customWidth="1"/>
    <col min="13571" max="13571" width="45.7109375" style="4" customWidth="1"/>
    <col min="13572" max="13572" width="0.140625" style="4" customWidth="1"/>
    <col min="13573" max="13573" width="13.5703125" style="4" customWidth="1"/>
    <col min="13574" max="13574" width="0.140625" style="4" customWidth="1"/>
    <col min="13575" max="13575" width="13.5703125" style="4" customWidth="1"/>
    <col min="13576" max="13576" width="0.140625" style="4" customWidth="1"/>
    <col min="13577" max="13577" width="13.5703125" style="4" customWidth="1"/>
    <col min="13578" max="13578" width="0.140625" style="4" customWidth="1"/>
    <col min="13579" max="13579" width="13.5703125" style="4" customWidth="1"/>
    <col min="13580" max="13582" width="0" style="4" hidden="1" customWidth="1"/>
    <col min="13583" max="13824" width="9.140625" style="4"/>
    <col min="13825" max="13825" width="0.28515625" style="4" customWidth="1"/>
    <col min="13826" max="13826" width="0.140625" style="4" customWidth="1"/>
    <col min="13827" max="13827" width="45.7109375" style="4" customWidth="1"/>
    <col min="13828" max="13828" width="0.140625" style="4" customWidth="1"/>
    <col min="13829" max="13829" width="13.5703125" style="4" customWidth="1"/>
    <col min="13830" max="13830" width="0.140625" style="4" customWidth="1"/>
    <col min="13831" max="13831" width="13.5703125" style="4" customWidth="1"/>
    <col min="13832" max="13832" width="0.140625" style="4" customWidth="1"/>
    <col min="13833" max="13833" width="13.5703125" style="4" customWidth="1"/>
    <col min="13834" max="13834" width="0.140625" style="4" customWidth="1"/>
    <col min="13835" max="13835" width="13.5703125" style="4" customWidth="1"/>
    <col min="13836" max="13838" width="0" style="4" hidden="1" customWidth="1"/>
    <col min="13839" max="14080" width="9.140625" style="4"/>
    <col min="14081" max="14081" width="0.28515625" style="4" customWidth="1"/>
    <col min="14082" max="14082" width="0.140625" style="4" customWidth="1"/>
    <col min="14083" max="14083" width="45.7109375" style="4" customWidth="1"/>
    <col min="14084" max="14084" width="0.140625" style="4" customWidth="1"/>
    <col min="14085" max="14085" width="13.5703125" style="4" customWidth="1"/>
    <col min="14086" max="14086" width="0.140625" style="4" customWidth="1"/>
    <col min="14087" max="14087" width="13.5703125" style="4" customWidth="1"/>
    <col min="14088" max="14088" width="0.140625" style="4" customWidth="1"/>
    <col min="14089" max="14089" width="13.5703125" style="4" customWidth="1"/>
    <col min="14090" max="14090" width="0.140625" style="4" customWidth="1"/>
    <col min="14091" max="14091" width="13.5703125" style="4" customWidth="1"/>
    <col min="14092" max="14094" width="0" style="4" hidden="1" customWidth="1"/>
    <col min="14095" max="14336" width="9.140625" style="4"/>
    <col min="14337" max="14337" width="0.28515625" style="4" customWidth="1"/>
    <col min="14338" max="14338" width="0.140625" style="4" customWidth="1"/>
    <col min="14339" max="14339" width="45.7109375" style="4" customWidth="1"/>
    <col min="14340" max="14340" width="0.140625" style="4" customWidth="1"/>
    <col min="14341" max="14341" width="13.5703125" style="4" customWidth="1"/>
    <col min="14342" max="14342" width="0.140625" style="4" customWidth="1"/>
    <col min="14343" max="14343" width="13.5703125" style="4" customWidth="1"/>
    <col min="14344" max="14344" width="0.140625" style="4" customWidth="1"/>
    <col min="14345" max="14345" width="13.5703125" style="4" customWidth="1"/>
    <col min="14346" max="14346" width="0.140625" style="4" customWidth="1"/>
    <col min="14347" max="14347" width="13.5703125" style="4" customWidth="1"/>
    <col min="14348" max="14350" width="0" style="4" hidden="1" customWidth="1"/>
    <col min="14351" max="14592" width="9.140625" style="4"/>
    <col min="14593" max="14593" width="0.28515625" style="4" customWidth="1"/>
    <col min="14594" max="14594" width="0.140625" style="4" customWidth="1"/>
    <col min="14595" max="14595" width="45.7109375" style="4" customWidth="1"/>
    <col min="14596" max="14596" width="0.140625" style="4" customWidth="1"/>
    <col min="14597" max="14597" width="13.5703125" style="4" customWidth="1"/>
    <col min="14598" max="14598" width="0.140625" style="4" customWidth="1"/>
    <col min="14599" max="14599" width="13.5703125" style="4" customWidth="1"/>
    <col min="14600" max="14600" width="0.140625" style="4" customWidth="1"/>
    <col min="14601" max="14601" width="13.5703125" style="4" customWidth="1"/>
    <col min="14602" max="14602" width="0.140625" style="4" customWidth="1"/>
    <col min="14603" max="14603" width="13.5703125" style="4" customWidth="1"/>
    <col min="14604" max="14606" width="0" style="4" hidden="1" customWidth="1"/>
    <col min="14607" max="14848" width="9.140625" style="4"/>
    <col min="14849" max="14849" width="0.28515625" style="4" customWidth="1"/>
    <col min="14850" max="14850" width="0.140625" style="4" customWidth="1"/>
    <col min="14851" max="14851" width="45.7109375" style="4" customWidth="1"/>
    <col min="14852" max="14852" width="0.140625" style="4" customWidth="1"/>
    <col min="14853" max="14853" width="13.5703125" style="4" customWidth="1"/>
    <col min="14854" max="14854" width="0.140625" style="4" customWidth="1"/>
    <col min="14855" max="14855" width="13.5703125" style="4" customWidth="1"/>
    <col min="14856" max="14856" width="0.140625" style="4" customWidth="1"/>
    <col min="14857" max="14857" width="13.5703125" style="4" customWidth="1"/>
    <col min="14858" max="14858" width="0.140625" style="4" customWidth="1"/>
    <col min="14859" max="14859" width="13.5703125" style="4" customWidth="1"/>
    <col min="14860" max="14862" width="0" style="4" hidden="1" customWidth="1"/>
    <col min="14863" max="15104" width="9.140625" style="4"/>
    <col min="15105" max="15105" width="0.28515625" style="4" customWidth="1"/>
    <col min="15106" max="15106" width="0.140625" style="4" customWidth="1"/>
    <col min="15107" max="15107" width="45.7109375" style="4" customWidth="1"/>
    <col min="15108" max="15108" width="0.140625" style="4" customWidth="1"/>
    <col min="15109" max="15109" width="13.5703125" style="4" customWidth="1"/>
    <col min="15110" max="15110" width="0.140625" style="4" customWidth="1"/>
    <col min="15111" max="15111" width="13.5703125" style="4" customWidth="1"/>
    <col min="15112" max="15112" width="0.140625" style="4" customWidth="1"/>
    <col min="15113" max="15113" width="13.5703125" style="4" customWidth="1"/>
    <col min="15114" max="15114" width="0.140625" style="4" customWidth="1"/>
    <col min="15115" max="15115" width="13.5703125" style="4" customWidth="1"/>
    <col min="15116" max="15118" width="0" style="4" hidden="1" customWidth="1"/>
    <col min="15119" max="15360" width="9.140625" style="4"/>
    <col min="15361" max="15361" width="0.28515625" style="4" customWidth="1"/>
    <col min="15362" max="15362" width="0.140625" style="4" customWidth="1"/>
    <col min="15363" max="15363" width="45.7109375" style="4" customWidth="1"/>
    <col min="15364" max="15364" width="0.140625" style="4" customWidth="1"/>
    <col min="15365" max="15365" width="13.5703125" style="4" customWidth="1"/>
    <col min="15366" max="15366" width="0.140625" style="4" customWidth="1"/>
    <col min="15367" max="15367" width="13.5703125" style="4" customWidth="1"/>
    <col min="15368" max="15368" width="0.140625" style="4" customWidth="1"/>
    <col min="15369" max="15369" width="13.5703125" style="4" customWidth="1"/>
    <col min="15370" max="15370" width="0.140625" style="4" customWidth="1"/>
    <col min="15371" max="15371" width="13.5703125" style="4" customWidth="1"/>
    <col min="15372" max="15374" width="0" style="4" hidden="1" customWidth="1"/>
    <col min="15375" max="15616" width="9.140625" style="4"/>
    <col min="15617" max="15617" width="0.28515625" style="4" customWidth="1"/>
    <col min="15618" max="15618" width="0.140625" style="4" customWidth="1"/>
    <col min="15619" max="15619" width="45.7109375" style="4" customWidth="1"/>
    <col min="15620" max="15620" width="0.140625" style="4" customWidth="1"/>
    <col min="15621" max="15621" width="13.5703125" style="4" customWidth="1"/>
    <col min="15622" max="15622" width="0.140625" style="4" customWidth="1"/>
    <col min="15623" max="15623" width="13.5703125" style="4" customWidth="1"/>
    <col min="15624" max="15624" width="0.140625" style="4" customWidth="1"/>
    <col min="15625" max="15625" width="13.5703125" style="4" customWidth="1"/>
    <col min="15626" max="15626" width="0.140625" style="4" customWidth="1"/>
    <col min="15627" max="15627" width="13.5703125" style="4" customWidth="1"/>
    <col min="15628" max="15630" width="0" style="4" hidden="1" customWidth="1"/>
    <col min="15631" max="15872" width="9.140625" style="4"/>
    <col min="15873" max="15873" width="0.28515625" style="4" customWidth="1"/>
    <col min="15874" max="15874" width="0.140625" style="4" customWidth="1"/>
    <col min="15875" max="15875" width="45.7109375" style="4" customWidth="1"/>
    <col min="15876" max="15876" width="0.140625" style="4" customWidth="1"/>
    <col min="15877" max="15877" width="13.5703125" style="4" customWidth="1"/>
    <col min="15878" max="15878" width="0.140625" style="4" customWidth="1"/>
    <col min="15879" max="15879" width="13.5703125" style="4" customWidth="1"/>
    <col min="15880" max="15880" width="0.140625" style="4" customWidth="1"/>
    <col min="15881" max="15881" width="13.5703125" style="4" customWidth="1"/>
    <col min="15882" max="15882" width="0.140625" style="4" customWidth="1"/>
    <col min="15883" max="15883" width="13.5703125" style="4" customWidth="1"/>
    <col min="15884" max="15886" width="0" style="4" hidden="1" customWidth="1"/>
    <col min="15887" max="16128" width="9.140625" style="4"/>
    <col min="16129" max="16129" width="0.28515625" style="4" customWidth="1"/>
    <col min="16130" max="16130" width="0.140625" style="4" customWidth="1"/>
    <col min="16131" max="16131" width="45.7109375" style="4" customWidth="1"/>
    <col min="16132" max="16132" width="0.140625" style="4" customWidth="1"/>
    <col min="16133" max="16133" width="13.5703125" style="4" customWidth="1"/>
    <col min="16134" max="16134" width="0.140625" style="4" customWidth="1"/>
    <col min="16135" max="16135" width="13.5703125" style="4" customWidth="1"/>
    <col min="16136" max="16136" width="0.140625" style="4" customWidth="1"/>
    <col min="16137" max="16137" width="13.5703125" style="4" customWidth="1"/>
    <col min="16138" max="16138" width="0.140625" style="4" customWidth="1"/>
    <col min="16139" max="16139" width="13.5703125" style="4" customWidth="1"/>
    <col min="16140" max="16142" width="0" style="4" hidden="1" customWidth="1"/>
    <col min="16143" max="16384" width="9.140625" style="4"/>
  </cols>
  <sheetData>
    <row r="1" spans="1:15" ht="14.65" customHeight="1" x14ac:dyDescent="0.2"/>
    <row r="2" spans="1:15" ht="17.100000000000001" customHeight="1" x14ac:dyDescent="0.2">
      <c r="A2" s="268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5" ht="3" customHeight="1" x14ac:dyDescent="0.2"/>
    <row r="4" spans="1:15" ht="18.2" customHeight="1" x14ac:dyDescent="0.2">
      <c r="A4" s="270" t="s">
        <v>542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</row>
    <row r="5" spans="1:15" ht="3" customHeight="1" x14ac:dyDescent="0.2"/>
    <row r="6" spans="1:15" ht="9" customHeight="1" x14ac:dyDescent="0.2"/>
    <row r="7" spans="1:15" ht="11.1" customHeight="1" x14ac:dyDescent="0.2">
      <c r="B7" s="271" t="s">
        <v>439</v>
      </c>
      <c r="C7" s="272"/>
      <c r="D7" s="275" t="s">
        <v>785</v>
      </c>
      <c r="E7" s="276"/>
      <c r="F7" s="276"/>
      <c r="G7" s="277"/>
      <c r="H7" s="275" t="s">
        <v>840</v>
      </c>
      <c r="I7" s="276"/>
      <c r="J7" s="276"/>
      <c r="K7" s="277"/>
    </row>
    <row r="8" spans="1:15" ht="14.25" customHeight="1" x14ac:dyDescent="0.2">
      <c r="B8" s="273"/>
      <c r="C8" s="274"/>
      <c r="D8" s="278" t="s">
        <v>543</v>
      </c>
      <c r="E8" s="279"/>
      <c r="F8" s="278" t="s">
        <v>544</v>
      </c>
      <c r="G8" s="279"/>
      <c r="H8" s="278" t="s">
        <v>543</v>
      </c>
      <c r="I8" s="279"/>
      <c r="J8" s="278" t="s">
        <v>544</v>
      </c>
      <c r="K8" s="279"/>
    </row>
    <row r="9" spans="1:15" ht="14.1" customHeight="1" x14ac:dyDescent="0.2">
      <c r="B9" s="280" t="s">
        <v>545</v>
      </c>
      <c r="C9" s="281"/>
      <c r="D9" s="282">
        <f>'Stampa rendiconto PI - ENTRATE'!K23</f>
        <v>6034</v>
      </c>
      <c r="E9" s="283"/>
      <c r="F9" s="282">
        <f>'Stampa rendiconto PII - ENTRATE'!L23</f>
        <v>6034</v>
      </c>
      <c r="G9" s="283"/>
      <c r="H9" s="284">
        <v>0</v>
      </c>
      <c r="I9" s="285"/>
      <c r="J9" s="284">
        <v>0</v>
      </c>
      <c r="K9" s="285"/>
    </row>
    <row r="10" spans="1:15" ht="14.25" customHeight="1" x14ac:dyDescent="0.2">
      <c r="B10" s="280" t="s">
        <v>546</v>
      </c>
      <c r="C10" s="281"/>
      <c r="D10" s="282">
        <f>'decisionale entrate '!D21</f>
        <v>27826230</v>
      </c>
      <c r="E10" s="283"/>
      <c r="F10" s="282">
        <f>'decisionale entrate '!E21</f>
        <v>25722998</v>
      </c>
      <c r="G10" s="283"/>
      <c r="H10" s="284">
        <v>23065733</v>
      </c>
      <c r="I10" s="285"/>
      <c r="J10" s="284">
        <v>23931937</v>
      </c>
      <c r="K10" s="285"/>
    </row>
    <row r="11" spans="1:15" ht="14.1" customHeight="1" x14ac:dyDescent="0.2">
      <c r="B11" s="286" t="s">
        <v>547</v>
      </c>
      <c r="C11" s="281"/>
      <c r="D11" s="287">
        <f>SUM(D9:E10)</f>
        <v>27832264</v>
      </c>
      <c r="E11" s="277"/>
      <c r="F11" s="287">
        <f>SUM(F9:G10)</f>
        <v>25729032</v>
      </c>
      <c r="G11" s="277"/>
      <c r="H11" s="287">
        <f>H10</f>
        <v>23065733</v>
      </c>
      <c r="I11" s="277"/>
      <c r="J11" s="287">
        <f>J10</f>
        <v>23931937</v>
      </c>
      <c r="K11" s="277"/>
    </row>
    <row r="12" spans="1:15" ht="24" customHeight="1" x14ac:dyDescent="0.2">
      <c r="B12" s="280" t="s">
        <v>548</v>
      </c>
      <c r="C12" s="281"/>
      <c r="D12" s="282">
        <f>'decisionale entrate '!D28</f>
        <v>180100</v>
      </c>
      <c r="E12" s="283"/>
      <c r="F12" s="282">
        <f>'decisionale entrate '!E28</f>
        <v>180100</v>
      </c>
      <c r="G12" s="283"/>
      <c r="H12" s="288">
        <v>5738</v>
      </c>
      <c r="I12" s="289"/>
      <c r="J12" s="288">
        <v>5738</v>
      </c>
      <c r="K12" s="289"/>
    </row>
    <row r="13" spans="1:15" ht="23.25" customHeight="1" x14ac:dyDescent="0.2">
      <c r="B13" s="290" t="s">
        <v>549</v>
      </c>
      <c r="C13" s="291"/>
      <c r="D13" s="282">
        <f>'decisionale entrate '!D35</f>
        <v>23995867</v>
      </c>
      <c r="E13" s="283"/>
      <c r="F13" s="282">
        <f>'decisionale entrate '!E35</f>
        <v>37476278</v>
      </c>
      <c r="G13" s="283"/>
      <c r="H13" s="284">
        <v>3700307</v>
      </c>
      <c r="I13" s="285"/>
      <c r="J13" s="284">
        <v>12144453</v>
      </c>
      <c r="K13" s="285"/>
    </row>
    <row r="14" spans="1:15" ht="14.25" customHeight="1" x14ac:dyDescent="0.2">
      <c r="B14" s="280" t="s">
        <v>550</v>
      </c>
      <c r="C14" s="281"/>
      <c r="D14" s="282">
        <f>'decisionale entrate '!D40</f>
        <v>7869</v>
      </c>
      <c r="E14" s="283"/>
      <c r="F14" s="282">
        <f>'decisionale entrate '!E40</f>
        <v>7869</v>
      </c>
      <c r="G14" s="283"/>
      <c r="H14" s="284">
        <v>33121</v>
      </c>
      <c r="I14" s="285"/>
      <c r="J14" s="284">
        <v>33121</v>
      </c>
      <c r="K14" s="285"/>
    </row>
    <row r="15" spans="1:15" ht="14.1" customHeight="1" x14ac:dyDescent="0.2">
      <c r="B15" s="286" t="s">
        <v>551</v>
      </c>
      <c r="C15" s="281"/>
      <c r="D15" s="287">
        <f>SUM(D12:E14)</f>
        <v>24183836</v>
      </c>
      <c r="E15" s="277"/>
      <c r="F15" s="287">
        <f>SUM(F12:G14)</f>
        <v>37664247</v>
      </c>
      <c r="G15" s="277"/>
      <c r="H15" s="287">
        <f>SUM(H12:I14)</f>
        <v>3739166</v>
      </c>
      <c r="I15" s="277"/>
      <c r="J15" s="287">
        <f>SUM(J12:K14)</f>
        <v>12183312</v>
      </c>
      <c r="K15" s="277"/>
      <c r="O15" s="19"/>
    </row>
    <row r="16" spans="1:15" ht="14.25" customHeight="1" x14ac:dyDescent="0.2">
      <c r="B16" s="280" t="s">
        <v>552</v>
      </c>
      <c r="C16" s="281"/>
      <c r="D16" s="282">
        <f>'decisionale entrate '!D45</f>
        <v>2613131</v>
      </c>
      <c r="E16" s="283"/>
      <c r="F16" s="282">
        <f>'decisionale entrate '!E44</f>
        <v>2613897</v>
      </c>
      <c r="G16" s="283"/>
      <c r="H16" s="284">
        <v>1837866</v>
      </c>
      <c r="I16" s="285"/>
      <c r="J16" s="284">
        <v>1854785</v>
      </c>
      <c r="K16" s="285"/>
    </row>
    <row r="17" spans="2:16" ht="14.1" customHeight="1" x14ac:dyDescent="0.2">
      <c r="B17" s="286" t="s">
        <v>553</v>
      </c>
      <c r="C17" s="281"/>
      <c r="D17" s="287">
        <f>SUM(D16)</f>
        <v>2613131</v>
      </c>
      <c r="E17" s="277"/>
      <c r="F17" s="287">
        <f>SUM(F16)</f>
        <v>2613897</v>
      </c>
      <c r="G17" s="277"/>
      <c r="H17" s="287">
        <f>H16</f>
        <v>1837866</v>
      </c>
      <c r="I17" s="277"/>
      <c r="J17" s="287">
        <f>J16</f>
        <v>1854785</v>
      </c>
      <c r="K17" s="277"/>
    </row>
    <row r="18" spans="2:16" ht="14.1" customHeight="1" x14ac:dyDescent="0.2">
      <c r="B18" s="292" t="s">
        <v>485</v>
      </c>
      <c r="C18" s="293"/>
      <c r="D18" s="294">
        <f>D11+D15+D17</f>
        <v>54629231</v>
      </c>
      <c r="E18" s="277"/>
      <c r="F18" s="294">
        <f>F11+F15+F17</f>
        <v>66007176</v>
      </c>
      <c r="G18" s="277"/>
      <c r="H18" s="294">
        <f>H11+H15+H17</f>
        <v>28642765</v>
      </c>
      <c r="I18" s="277"/>
      <c r="J18" s="294">
        <f>J11+J15+J17</f>
        <v>37970034</v>
      </c>
      <c r="K18" s="277"/>
    </row>
    <row r="19" spans="2:16" ht="14.25" customHeight="1" x14ac:dyDescent="0.2">
      <c r="B19" s="303" t="s">
        <v>554</v>
      </c>
      <c r="C19" s="293"/>
      <c r="D19" s="304"/>
      <c r="E19" s="293"/>
      <c r="F19" s="304"/>
      <c r="G19" s="293"/>
      <c r="H19" s="304">
        <v>1301860</v>
      </c>
      <c r="I19" s="293"/>
      <c r="J19" s="304">
        <v>5440056</v>
      </c>
      <c r="K19" s="293"/>
    </row>
    <row r="20" spans="2:16" ht="14.1" customHeight="1" x14ac:dyDescent="0.2">
      <c r="B20" s="303" t="s">
        <v>555</v>
      </c>
      <c r="C20" s="293"/>
      <c r="D20" s="305">
        <f>SUM(D18:E19)</f>
        <v>54629231</v>
      </c>
      <c r="E20" s="293"/>
      <c r="F20" s="305">
        <f>SUM(F18:G19)</f>
        <v>66007176</v>
      </c>
      <c r="G20" s="293"/>
      <c r="H20" s="305">
        <f>SUM(H18:I19)</f>
        <v>29944625</v>
      </c>
      <c r="I20" s="293"/>
      <c r="J20" s="305">
        <f>J18+J19</f>
        <v>43410090</v>
      </c>
      <c r="K20" s="293"/>
    </row>
    <row r="21" spans="2:16" ht="16.7" customHeight="1" x14ac:dyDescent="0.2">
      <c r="H21" s="295"/>
      <c r="I21" s="296"/>
      <c r="J21" s="296"/>
      <c r="K21" s="297"/>
    </row>
    <row r="22" spans="2:16" ht="11.1" customHeight="1" x14ac:dyDescent="0.2">
      <c r="B22" s="298" t="s">
        <v>541</v>
      </c>
      <c r="C22" s="272"/>
      <c r="D22" s="299" t="s">
        <v>785</v>
      </c>
      <c r="E22" s="276"/>
      <c r="F22" s="276"/>
      <c r="G22" s="277"/>
      <c r="H22" s="299" t="s">
        <v>574</v>
      </c>
      <c r="I22" s="276"/>
      <c r="J22" s="276"/>
      <c r="K22" s="277"/>
    </row>
    <row r="23" spans="2:16" ht="14.25" customHeight="1" x14ac:dyDescent="0.2">
      <c r="B23" s="273"/>
      <c r="C23" s="274"/>
      <c r="D23" s="300" t="s">
        <v>543</v>
      </c>
      <c r="E23" s="279"/>
      <c r="F23" s="300" t="s">
        <v>544</v>
      </c>
      <c r="G23" s="279"/>
      <c r="H23" s="301" t="s">
        <v>543</v>
      </c>
      <c r="I23" s="302"/>
      <c r="J23" s="301" t="s">
        <v>544</v>
      </c>
      <c r="K23" s="302"/>
    </row>
    <row r="24" spans="2:16" ht="14.1" customHeight="1" x14ac:dyDescent="0.2">
      <c r="B24" s="280" t="s">
        <v>556</v>
      </c>
      <c r="C24" s="281"/>
      <c r="D24" s="282">
        <f>'decisionale spese'!D11</f>
        <v>5800032</v>
      </c>
      <c r="E24" s="283"/>
      <c r="F24" s="282">
        <f>'decisionale spese'!E11</f>
        <v>5787699</v>
      </c>
      <c r="G24" s="283"/>
      <c r="H24" s="284">
        <v>4500054</v>
      </c>
      <c r="I24" s="285"/>
      <c r="J24" s="284">
        <v>4508566</v>
      </c>
      <c r="K24" s="285"/>
    </row>
    <row r="25" spans="2:16" ht="14.25" customHeight="1" x14ac:dyDescent="0.2">
      <c r="B25" s="280" t="s">
        <v>557</v>
      </c>
      <c r="C25" s="281"/>
      <c r="D25" s="282">
        <f>'decisionale spese'!D19</f>
        <v>6839409</v>
      </c>
      <c r="E25" s="283"/>
      <c r="F25" s="282">
        <f>'decisionale spese'!E19</f>
        <v>5641321</v>
      </c>
      <c r="G25" s="283"/>
      <c r="H25" s="284">
        <v>3615993</v>
      </c>
      <c r="I25" s="285"/>
      <c r="J25" s="284">
        <v>4018081</v>
      </c>
      <c r="K25" s="285"/>
    </row>
    <row r="26" spans="2:16" ht="14.1" customHeight="1" x14ac:dyDescent="0.2">
      <c r="B26" s="280" t="s">
        <v>558</v>
      </c>
      <c r="C26" s="281"/>
      <c r="D26" s="282">
        <v>0</v>
      </c>
      <c r="E26" s="283"/>
      <c r="F26" s="282">
        <v>0</v>
      </c>
      <c r="G26" s="283"/>
      <c r="H26" s="284">
        <v>0</v>
      </c>
      <c r="I26" s="285"/>
      <c r="J26" s="284">
        <v>0</v>
      </c>
      <c r="K26" s="285"/>
    </row>
    <row r="27" spans="2:16" ht="14.25" customHeight="1" x14ac:dyDescent="0.2">
      <c r="B27" s="280" t="s">
        <v>559</v>
      </c>
      <c r="C27" s="281"/>
      <c r="D27" s="282">
        <v>0</v>
      </c>
      <c r="E27" s="283"/>
      <c r="F27" s="282">
        <v>0</v>
      </c>
      <c r="G27" s="283"/>
      <c r="H27" s="284">
        <v>0</v>
      </c>
      <c r="I27" s="285"/>
      <c r="J27" s="284">
        <v>0</v>
      </c>
      <c r="K27" s="285"/>
    </row>
    <row r="28" spans="2:16" ht="14.1" customHeight="1" x14ac:dyDescent="0.2">
      <c r="B28" s="280" t="s">
        <v>560</v>
      </c>
      <c r="C28" s="281"/>
      <c r="D28" s="282">
        <v>0</v>
      </c>
      <c r="E28" s="283"/>
      <c r="F28" s="282">
        <v>0</v>
      </c>
      <c r="G28" s="283"/>
      <c r="H28" s="284">
        <v>0</v>
      </c>
      <c r="I28" s="285"/>
      <c r="J28" s="284">
        <v>0</v>
      </c>
      <c r="K28" s="285"/>
    </row>
    <row r="29" spans="2:16" ht="14.25" customHeight="1" x14ac:dyDescent="0.2">
      <c r="B29" s="286" t="s">
        <v>561</v>
      </c>
      <c r="C29" s="281"/>
      <c r="D29" s="287">
        <f>SUM(D24:E28)</f>
        <v>12639441</v>
      </c>
      <c r="E29" s="277"/>
      <c r="F29" s="287">
        <f>SUM(F24:G28)</f>
        <v>11429020</v>
      </c>
      <c r="G29" s="277"/>
      <c r="H29" s="287">
        <f>SUM(H24:I28)</f>
        <v>8116047</v>
      </c>
      <c r="I29" s="277"/>
      <c r="J29" s="287">
        <f>SUM(J24:K28)</f>
        <v>8526647</v>
      </c>
      <c r="K29" s="277"/>
      <c r="P29" s="19"/>
    </row>
    <row r="30" spans="2:16" ht="14.1" customHeight="1" x14ac:dyDescent="0.2">
      <c r="B30" s="280" t="s">
        <v>562</v>
      </c>
      <c r="C30" s="281"/>
      <c r="D30" s="282">
        <f>'decisionale spese'!D37</f>
        <v>34525267</v>
      </c>
      <c r="E30" s="283"/>
      <c r="F30" s="282">
        <f>'decisionale spese'!E37</f>
        <v>48483822</v>
      </c>
      <c r="G30" s="283"/>
      <c r="H30" s="284">
        <v>19990712</v>
      </c>
      <c r="I30" s="285"/>
      <c r="J30" s="284">
        <v>33081814</v>
      </c>
      <c r="K30" s="285"/>
    </row>
    <row r="31" spans="2:16" ht="14.25" customHeight="1" x14ac:dyDescent="0.2">
      <c r="B31" s="280" t="s">
        <v>563</v>
      </c>
      <c r="C31" s="281"/>
      <c r="D31" s="282">
        <v>0</v>
      </c>
      <c r="E31" s="283"/>
      <c r="F31" s="282">
        <v>0</v>
      </c>
      <c r="G31" s="283"/>
      <c r="H31" s="284">
        <v>0</v>
      </c>
      <c r="I31" s="285"/>
      <c r="J31" s="284">
        <v>0</v>
      </c>
      <c r="K31" s="285"/>
    </row>
    <row r="32" spans="2:16" ht="14.1" customHeight="1" x14ac:dyDescent="0.2">
      <c r="B32" s="286" t="s">
        <v>564</v>
      </c>
      <c r="C32" s="281"/>
      <c r="D32" s="287">
        <f>SUM(D30:E31)</f>
        <v>34525267</v>
      </c>
      <c r="E32" s="277"/>
      <c r="F32" s="287">
        <f>SUM(F30:G31)</f>
        <v>48483822</v>
      </c>
      <c r="G32" s="277"/>
      <c r="H32" s="287">
        <f>SUM(H30:I31)</f>
        <v>19990712</v>
      </c>
      <c r="I32" s="277"/>
      <c r="J32" s="287">
        <f>SUM(J30:K31)</f>
        <v>33081814</v>
      </c>
      <c r="K32" s="277"/>
    </row>
    <row r="33" spans="2:17" ht="14.25" customHeight="1" x14ac:dyDescent="0.2">
      <c r="B33" s="280" t="s">
        <v>565</v>
      </c>
      <c r="C33" s="281"/>
      <c r="D33" s="282">
        <f>'decisionale spese'!D49</f>
        <v>2613131</v>
      </c>
      <c r="E33" s="283"/>
      <c r="F33" s="282">
        <f>'decisionale spese'!E48</f>
        <v>2392753</v>
      </c>
      <c r="G33" s="283"/>
      <c r="H33" s="284">
        <v>1837866</v>
      </c>
      <c r="I33" s="285"/>
      <c r="J33" s="284">
        <v>1801629</v>
      </c>
      <c r="K33" s="285"/>
      <c r="O33" s="19"/>
    </row>
    <row r="34" spans="2:17" ht="14.1" customHeight="1" x14ac:dyDescent="0.2">
      <c r="B34" s="286" t="s">
        <v>566</v>
      </c>
      <c r="C34" s="281"/>
      <c r="D34" s="287">
        <f>SUM(D33)</f>
        <v>2613131</v>
      </c>
      <c r="E34" s="277"/>
      <c r="F34" s="287">
        <f>SUM(F33)</f>
        <v>2392753</v>
      </c>
      <c r="G34" s="277"/>
      <c r="H34" s="287">
        <f>SUM(H33)</f>
        <v>1837866</v>
      </c>
      <c r="I34" s="277"/>
      <c r="J34" s="287">
        <f>J33</f>
        <v>1801629</v>
      </c>
      <c r="K34" s="277"/>
    </row>
    <row r="35" spans="2:17" ht="14.1" customHeight="1" x14ac:dyDescent="0.2">
      <c r="B35" s="292" t="s">
        <v>486</v>
      </c>
      <c r="C35" s="293"/>
      <c r="D35" s="294">
        <f>D29+D32+D34</f>
        <v>49777839</v>
      </c>
      <c r="E35" s="277"/>
      <c r="F35" s="294">
        <f>F29+F32+F34</f>
        <v>62305595</v>
      </c>
      <c r="G35" s="277"/>
      <c r="H35" s="294">
        <f>H29+H32+H34</f>
        <v>29944625</v>
      </c>
      <c r="I35" s="277"/>
      <c r="J35" s="294">
        <f>J29+J32+J34</f>
        <v>43410090</v>
      </c>
      <c r="K35" s="277"/>
    </row>
    <row r="36" spans="2:17" ht="14.25" customHeight="1" x14ac:dyDescent="0.2">
      <c r="B36" s="303" t="s">
        <v>567</v>
      </c>
      <c r="C36" s="293"/>
      <c r="D36" s="310"/>
      <c r="E36" s="293"/>
      <c r="F36" s="305"/>
      <c r="G36" s="293"/>
      <c r="H36" s="305"/>
      <c r="I36" s="293"/>
      <c r="J36" s="305"/>
      <c r="K36" s="293"/>
      <c r="O36" s="19"/>
    </row>
    <row r="37" spans="2:17" ht="14.1" customHeight="1" x14ac:dyDescent="0.2">
      <c r="B37" s="303" t="s">
        <v>555</v>
      </c>
      <c r="C37" s="293"/>
      <c r="D37" s="305">
        <f>D35</f>
        <v>49777839</v>
      </c>
      <c r="E37" s="293"/>
      <c r="F37" s="305">
        <f>SUM(F35:G36)</f>
        <v>62305595</v>
      </c>
      <c r="G37" s="293"/>
      <c r="H37" s="305">
        <f>H20</f>
        <v>29944625</v>
      </c>
      <c r="I37" s="293"/>
      <c r="J37" s="305">
        <f>J35</f>
        <v>43410090</v>
      </c>
      <c r="K37" s="293"/>
    </row>
    <row r="38" spans="2:17" ht="19.350000000000001" customHeight="1" x14ac:dyDescent="0.2"/>
    <row r="39" spans="2:17" ht="11.1" customHeight="1" x14ac:dyDescent="0.2">
      <c r="C39" s="306"/>
      <c r="D39" s="272"/>
      <c r="E39" s="299" t="s">
        <v>785</v>
      </c>
      <c r="F39" s="276"/>
      <c r="G39" s="276"/>
      <c r="H39" s="277"/>
      <c r="I39" s="299" t="s">
        <v>574</v>
      </c>
      <c r="J39" s="276"/>
      <c r="K39" s="276"/>
      <c r="L39" s="276"/>
      <c r="M39" s="277"/>
    </row>
    <row r="40" spans="2:17" ht="14.25" customHeight="1" x14ac:dyDescent="0.2">
      <c r="C40" s="307" t="s">
        <v>568</v>
      </c>
      <c r="D40" s="308"/>
      <c r="E40" s="300" t="s">
        <v>543</v>
      </c>
      <c r="F40" s="279"/>
      <c r="G40" s="300" t="s">
        <v>544</v>
      </c>
      <c r="H40" s="279"/>
      <c r="I40" s="301" t="s">
        <v>543</v>
      </c>
      <c r="J40" s="302"/>
      <c r="K40" s="301" t="s">
        <v>544</v>
      </c>
      <c r="L40" s="309"/>
      <c r="M40" s="302"/>
    </row>
    <row r="41" spans="2:17" ht="14.1" customHeight="1" x14ac:dyDescent="0.2">
      <c r="C41" s="311" t="s">
        <v>569</v>
      </c>
      <c r="D41" s="312"/>
      <c r="E41" s="313">
        <f>D11-D29</f>
        <v>15192823</v>
      </c>
      <c r="F41" s="312"/>
      <c r="G41" s="313">
        <f>F11-F29</f>
        <v>14300012</v>
      </c>
      <c r="H41" s="312"/>
      <c r="I41" s="313">
        <f>H11-H29</f>
        <v>14949686</v>
      </c>
      <c r="J41" s="312"/>
      <c r="K41" s="313">
        <f>J11-J29</f>
        <v>15405290</v>
      </c>
      <c r="L41" s="312"/>
      <c r="M41" s="21"/>
      <c r="O41" s="19"/>
    </row>
    <row r="42" spans="2:17" ht="14.25" customHeight="1" x14ac:dyDescent="0.2">
      <c r="C42" s="314" t="s">
        <v>570</v>
      </c>
      <c r="D42" s="312"/>
      <c r="E42" s="315">
        <f>D15-D32</f>
        <v>-10341431</v>
      </c>
      <c r="F42" s="312"/>
      <c r="G42" s="315">
        <f>F15-F32</f>
        <v>-10819575</v>
      </c>
      <c r="H42" s="312"/>
      <c r="I42" s="315">
        <f>H15-H32</f>
        <v>-16251546</v>
      </c>
      <c r="J42" s="312"/>
      <c r="K42" s="315">
        <f>J15-J32</f>
        <v>-20898502</v>
      </c>
      <c r="L42" s="312"/>
      <c r="M42" s="22"/>
    </row>
    <row r="43" spans="2:17" ht="14.1" customHeight="1" x14ac:dyDescent="0.2">
      <c r="C43" s="311" t="s">
        <v>571</v>
      </c>
      <c r="D43" s="312"/>
      <c r="E43" s="313">
        <f>SUM(E41:F42)</f>
        <v>4851392</v>
      </c>
      <c r="F43" s="312"/>
      <c r="G43" s="313">
        <f>SUM(G41:H42)</f>
        <v>3480437</v>
      </c>
      <c r="H43" s="312"/>
      <c r="I43" s="313">
        <f>I42+I41</f>
        <v>-1301860</v>
      </c>
      <c r="J43" s="312"/>
      <c r="K43" s="313">
        <f>SUM(K41:L42)</f>
        <v>-5493212</v>
      </c>
      <c r="L43" s="312"/>
      <c r="M43" s="21"/>
      <c r="O43" s="19"/>
    </row>
    <row r="44" spans="2:17" ht="14.25" customHeight="1" x14ac:dyDescent="0.2">
      <c r="C44" s="314" t="s">
        <v>572</v>
      </c>
      <c r="D44" s="312"/>
      <c r="E44" s="315">
        <f>E43</f>
        <v>4851392</v>
      </c>
      <c r="F44" s="312"/>
      <c r="G44" s="315">
        <f>G43</f>
        <v>3480437</v>
      </c>
      <c r="H44" s="312"/>
      <c r="I44" s="315">
        <f>I43</f>
        <v>-1301860</v>
      </c>
      <c r="J44" s="312"/>
      <c r="K44" s="315">
        <f>K43</f>
        <v>-5493212</v>
      </c>
      <c r="L44" s="312"/>
      <c r="M44" s="22"/>
      <c r="O44" s="19"/>
      <c r="Q44" s="19"/>
    </row>
    <row r="45" spans="2:17" ht="14.1" customHeight="1" x14ac:dyDescent="0.2">
      <c r="C45" s="311" t="s">
        <v>573</v>
      </c>
      <c r="D45" s="312"/>
      <c r="E45" s="313">
        <f>D18-D35</f>
        <v>4851392</v>
      </c>
      <c r="F45" s="312"/>
      <c r="G45" s="313">
        <f>F18-F35</f>
        <v>3701581</v>
      </c>
      <c r="H45" s="312"/>
      <c r="I45" s="313">
        <f>H18-H35</f>
        <v>-1301860</v>
      </c>
      <c r="J45" s="312"/>
      <c r="K45" s="313">
        <f>J18-J35</f>
        <v>-5440056</v>
      </c>
      <c r="L45" s="312"/>
      <c r="M45" s="21"/>
      <c r="O45" s="19"/>
      <c r="Q45" s="19"/>
    </row>
  </sheetData>
  <mergeCells count="180">
    <mergeCell ref="C45:D45"/>
    <mergeCell ref="E45:F45"/>
    <mergeCell ref="G45:H45"/>
    <mergeCell ref="I45:J45"/>
    <mergeCell ref="K45:L45"/>
    <mergeCell ref="C43:D43"/>
    <mergeCell ref="E43:F43"/>
    <mergeCell ref="G43:H43"/>
    <mergeCell ref="I43:J43"/>
    <mergeCell ref="K43:L43"/>
    <mergeCell ref="C44:D44"/>
    <mergeCell ref="E44:F44"/>
    <mergeCell ref="G44:H44"/>
    <mergeCell ref="I44:J44"/>
    <mergeCell ref="K44:L44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C39:D39"/>
    <mergeCell ref="E39:H39"/>
    <mergeCell ref="I39:M39"/>
    <mergeCell ref="C40:D40"/>
    <mergeCell ref="E40:F40"/>
    <mergeCell ref="G40:H40"/>
    <mergeCell ref="I40:J40"/>
    <mergeCell ref="K40:M40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H21:K21"/>
    <mergeCell ref="B22:C23"/>
    <mergeCell ref="D22:G22"/>
    <mergeCell ref="H22:K22"/>
    <mergeCell ref="D23:E23"/>
    <mergeCell ref="F23:G23"/>
    <mergeCell ref="H23:I23"/>
    <mergeCell ref="J23:K23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A2:K2"/>
    <mergeCell ref="A4:K4"/>
    <mergeCell ref="B7:C8"/>
    <mergeCell ref="D7:G7"/>
    <mergeCell ref="H7:K7"/>
    <mergeCell ref="D8:E8"/>
    <mergeCell ref="F8:G8"/>
    <mergeCell ref="H8:I8"/>
    <mergeCell ref="J8:K8"/>
  </mergeCells>
  <pageMargins left="0" right="0" top="0.98425196850393704" bottom="0.98425196850393704" header="0" footer="0"/>
  <pageSetup paperSize="9" scale="90" orientation="portrait" r:id="rId1"/>
  <headerFooter alignWithMargins="0">
    <oddFooter>&amp;L&amp;C&amp;"Arial"&amp;8&amp;P 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showGridLines="0" topLeftCell="A33" zoomScale="184" zoomScaleNormal="184" workbookViewId="0">
      <selection activeCell="B52" sqref="B52"/>
    </sheetView>
  </sheetViews>
  <sheetFormatPr defaultRowHeight="12.75" x14ac:dyDescent="0.2"/>
  <cols>
    <col min="1" max="1" width="5.85546875" style="4" customWidth="1"/>
    <col min="2" max="2" width="33.7109375" style="4" customWidth="1"/>
    <col min="3" max="3" width="11.7109375" style="4" customWidth="1"/>
    <col min="4" max="4" width="11.42578125" style="4" customWidth="1"/>
    <col min="5" max="5" width="11.140625" style="4" customWidth="1"/>
    <col min="6" max="6" width="12.7109375" style="18" customWidth="1"/>
    <col min="7" max="7" width="11.28515625" style="4" customWidth="1"/>
    <col min="8" max="8" width="12.140625" style="4" customWidth="1"/>
    <col min="9" max="9" width="12.7109375" style="4" bestFit="1" customWidth="1"/>
    <col min="10" max="10" width="11.7109375" style="4" bestFit="1" customWidth="1"/>
    <col min="11" max="256" width="9.140625" style="4"/>
    <col min="257" max="257" width="5.85546875" style="4" customWidth="1"/>
    <col min="258" max="258" width="33.7109375" style="4" customWidth="1"/>
    <col min="259" max="259" width="11.7109375" style="4" customWidth="1"/>
    <col min="260" max="260" width="11.42578125" style="4" customWidth="1"/>
    <col min="261" max="261" width="11.140625" style="4" customWidth="1"/>
    <col min="262" max="262" width="12.7109375" style="4" customWidth="1"/>
    <col min="263" max="263" width="11.28515625" style="4" customWidth="1"/>
    <col min="264" max="264" width="12.140625" style="4" customWidth="1"/>
    <col min="265" max="512" width="9.140625" style="4"/>
    <col min="513" max="513" width="5.85546875" style="4" customWidth="1"/>
    <col min="514" max="514" width="33.7109375" style="4" customWidth="1"/>
    <col min="515" max="515" width="11.7109375" style="4" customWidth="1"/>
    <col min="516" max="516" width="11.42578125" style="4" customWidth="1"/>
    <col min="517" max="517" width="11.140625" style="4" customWidth="1"/>
    <col min="518" max="518" width="12.7109375" style="4" customWidth="1"/>
    <col min="519" max="519" width="11.28515625" style="4" customWidth="1"/>
    <col min="520" max="520" width="12.140625" style="4" customWidth="1"/>
    <col min="521" max="768" width="9.140625" style="4"/>
    <col min="769" max="769" width="5.85546875" style="4" customWidth="1"/>
    <col min="770" max="770" width="33.7109375" style="4" customWidth="1"/>
    <col min="771" max="771" width="11.7109375" style="4" customWidth="1"/>
    <col min="772" max="772" width="11.42578125" style="4" customWidth="1"/>
    <col min="773" max="773" width="11.140625" style="4" customWidth="1"/>
    <col min="774" max="774" width="12.7109375" style="4" customWidth="1"/>
    <col min="775" max="775" width="11.28515625" style="4" customWidth="1"/>
    <col min="776" max="776" width="12.140625" style="4" customWidth="1"/>
    <col min="777" max="1024" width="9.140625" style="4"/>
    <col min="1025" max="1025" width="5.85546875" style="4" customWidth="1"/>
    <col min="1026" max="1026" width="33.7109375" style="4" customWidth="1"/>
    <col min="1027" max="1027" width="11.7109375" style="4" customWidth="1"/>
    <col min="1028" max="1028" width="11.42578125" style="4" customWidth="1"/>
    <col min="1029" max="1029" width="11.140625" style="4" customWidth="1"/>
    <col min="1030" max="1030" width="12.7109375" style="4" customWidth="1"/>
    <col min="1031" max="1031" width="11.28515625" style="4" customWidth="1"/>
    <col min="1032" max="1032" width="12.140625" style="4" customWidth="1"/>
    <col min="1033" max="1280" width="9.140625" style="4"/>
    <col min="1281" max="1281" width="5.85546875" style="4" customWidth="1"/>
    <col min="1282" max="1282" width="33.7109375" style="4" customWidth="1"/>
    <col min="1283" max="1283" width="11.7109375" style="4" customWidth="1"/>
    <col min="1284" max="1284" width="11.42578125" style="4" customWidth="1"/>
    <col min="1285" max="1285" width="11.140625" style="4" customWidth="1"/>
    <col min="1286" max="1286" width="12.7109375" style="4" customWidth="1"/>
    <col min="1287" max="1287" width="11.28515625" style="4" customWidth="1"/>
    <col min="1288" max="1288" width="12.140625" style="4" customWidth="1"/>
    <col min="1289" max="1536" width="9.140625" style="4"/>
    <col min="1537" max="1537" width="5.85546875" style="4" customWidth="1"/>
    <col min="1538" max="1538" width="33.7109375" style="4" customWidth="1"/>
    <col min="1539" max="1539" width="11.7109375" style="4" customWidth="1"/>
    <col min="1540" max="1540" width="11.42578125" style="4" customWidth="1"/>
    <col min="1541" max="1541" width="11.140625" style="4" customWidth="1"/>
    <col min="1542" max="1542" width="12.7109375" style="4" customWidth="1"/>
    <col min="1543" max="1543" width="11.28515625" style="4" customWidth="1"/>
    <col min="1544" max="1544" width="12.140625" style="4" customWidth="1"/>
    <col min="1545" max="1792" width="9.140625" style="4"/>
    <col min="1793" max="1793" width="5.85546875" style="4" customWidth="1"/>
    <col min="1794" max="1794" width="33.7109375" style="4" customWidth="1"/>
    <col min="1795" max="1795" width="11.7109375" style="4" customWidth="1"/>
    <col min="1796" max="1796" width="11.42578125" style="4" customWidth="1"/>
    <col min="1797" max="1797" width="11.140625" style="4" customWidth="1"/>
    <col min="1798" max="1798" width="12.7109375" style="4" customWidth="1"/>
    <col min="1799" max="1799" width="11.28515625" style="4" customWidth="1"/>
    <col min="1800" max="1800" width="12.140625" style="4" customWidth="1"/>
    <col min="1801" max="2048" width="9.140625" style="4"/>
    <col min="2049" max="2049" width="5.85546875" style="4" customWidth="1"/>
    <col min="2050" max="2050" width="33.7109375" style="4" customWidth="1"/>
    <col min="2051" max="2051" width="11.7109375" style="4" customWidth="1"/>
    <col min="2052" max="2052" width="11.42578125" style="4" customWidth="1"/>
    <col min="2053" max="2053" width="11.140625" style="4" customWidth="1"/>
    <col min="2054" max="2054" width="12.7109375" style="4" customWidth="1"/>
    <col min="2055" max="2055" width="11.28515625" style="4" customWidth="1"/>
    <col min="2056" max="2056" width="12.140625" style="4" customWidth="1"/>
    <col min="2057" max="2304" width="9.140625" style="4"/>
    <col min="2305" max="2305" width="5.85546875" style="4" customWidth="1"/>
    <col min="2306" max="2306" width="33.7109375" style="4" customWidth="1"/>
    <col min="2307" max="2307" width="11.7109375" style="4" customWidth="1"/>
    <col min="2308" max="2308" width="11.42578125" style="4" customWidth="1"/>
    <col min="2309" max="2309" width="11.140625" style="4" customWidth="1"/>
    <col min="2310" max="2310" width="12.7109375" style="4" customWidth="1"/>
    <col min="2311" max="2311" width="11.28515625" style="4" customWidth="1"/>
    <col min="2312" max="2312" width="12.140625" style="4" customWidth="1"/>
    <col min="2313" max="2560" width="9.140625" style="4"/>
    <col min="2561" max="2561" width="5.85546875" style="4" customWidth="1"/>
    <col min="2562" max="2562" width="33.7109375" style="4" customWidth="1"/>
    <col min="2563" max="2563" width="11.7109375" style="4" customWidth="1"/>
    <col min="2564" max="2564" width="11.42578125" style="4" customWidth="1"/>
    <col min="2565" max="2565" width="11.140625" style="4" customWidth="1"/>
    <col min="2566" max="2566" width="12.7109375" style="4" customWidth="1"/>
    <col min="2567" max="2567" width="11.28515625" style="4" customWidth="1"/>
    <col min="2568" max="2568" width="12.140625" style="4" customWidth="1"/>
    <col min="2569" max="2816" width="9.140625" style="4"/>
    <col min="2817" max="2817" width="5.85546875" style="4" customWidth="1"/>
    <col min="2818" max="2818" width="33.7109375" style="4" customWidth="1"/>
    <col min="2819" max="2819" width="11.7109375" style="4" customWidth="1"/>
    <col min="2820" max="2820" width="11.42578125" style="4" customWidth="1"/>
    <col min="2821" max="2821" width="11.140625" style="4" customWidth="1"/>
    <col min="2822" max="2822" width="12.7109375" style="4" customWidth="1"/>
    <col min="2823" max="2823" width="11.28515625" style="4" customWidth="1"/>
    <col min="2824" max="2824" width="12.140625" style="4" customWidth="1"/>
    <col min="2825" max="3072" width="9.140625" style="4"/>
    <col min="3073" max="3073" width="5.85546875" style="4" customWidth="1"/>
    <col min="3074" max="3074" width="33.7109375" style="4" customWidth="1"/>
    <col min="3075" max="3075" width="11.7109375" style="4" customWidth="1"/>
    <col min="3076" max="3076" width="11.42578125" style="4" customWidth="1"/>
    <col min="3077" max="3077" width="11.140625" style="4" customWidth="1"/>
    <col min="3078" max="3078" width="12.7109375" style="4" customWidth="1"/>
    <col min="3079" max="3079" width="11.28515625" style="4" customWidth="1"/>
    <col min="3080" max="3080" width="12.140625" style="4" customWidth="1"/>
    <col min="3081" max="3328" width="9.140625" style="4"/>
    <col min="3329" max="3329" width="5.85546875" style="4" customWidth="1"/>
    <col min="3330" max="3330" width="33.7109375" style="4" customWidth="1"/>
    <col min="3331" max="3331" width="11.7109375" style="4" customWidth="1"/>
    <col min="3332" max="3332" width="11.42578125" style="4" customWidth="1"/>
    <col min="3333" max="3333" width="11.140625" style="4" customWidth="1"/>
    <col min="3334" max="3334" width="12.7109375" style="4" customWidth="1"/>
    <col min="3335" max="3335" width="11.28515625" style="4" customWidth="1"/>
    <col min="3336" max="3336" width="12.140625" style="4" customWidth="1"/>
    <col min="3337" max="3584" width="9.140625" style="4"/>
    <col min="3585" max="3585" width="5.85546875" style="4" customWidth="1"/>
    <col min="3586" max="3586" width="33.7109375" style="4" customWidth="1"/>
    <col min="3587" max="3587" width="11.7109375" style="4" customWidth="1"/>
    <col min="3588" max="3588" width="11.42578125" style="4" customWidth="1"/>
    <col min="3589" max="3589" width="11.140625" style="4" customWidth="1"/>
    <col min="3590" max="3590" width="12.7109375" style="4" customWidth="1"/>
    <col min="3591" max="3591" width="11.28515625" style="4" customWidth="1"/>
    <col min="3592" max="3592" width="12.140625" style="4" customWidth="1"/>
    <col min="3593" max="3840" width="9.140625" style="4"/>
    <col min="3841" max="3841" width="5.85546875" style="4" customWidth="1"/>
    <col min="3842" max="3842" width="33.7109375" style="4" customWidth="1"/>
    <col min="3843" max="3843" width="11.7109375" style="4" customWidth="1"/>
    <col min="3844" max="3844" width="11.42578125" style="4" customWidth="1"/>
    <col min="3845" max="3845" width="11.140625" style="4" customWidth="1"/>
    <col min="3846" max="3846" width="12.7109375" style="4" customWidth="1"/>
    <col min="3847" max="3847" width="11.28515625" style="4" customWidth="1"/>
    <col min="3848" max="3848" width="12.140625" style="4" customWidth="1"/>
    <col min="3849" max="4096" width="9.140625" style="4"/>
    <col min="4097" max="4097" width="5.85546875" style="4" customWidth="1"/>
    <col min="4098" max="4098" width="33.7109375" style="4" customWidth="1"/>
    <col min="4099" max="4099" width="11.7109375" style="4" customWidth="1"/>
    <col min="4100" max="4100" width="11.42578125" style="4" customWidth="1"/>
    <col min="4101" max="4101" width="11.140625" style="4" customWidth="1"/>
    <col min="4102" max="4102" width="12.7109375" style="4" customWidth="1"/>
    <col min="4103" max="4103" width="11.28515625" style="4" customWidth="1"/>
    <col min="4104" max="4104" width="12.140625" style="4" customWidth="1"/>
    <col min="4105" max="4352" width="9.140625" style="4"/>
    <col min="4353" max="4353" width="5.85546875" style="4" customWidth="1"/>
    <col min="4354" max="4354" width="33.7109375" style="4" customWidth="1"/>
    <col min="4355" max="4355" width="11.7109375" style="4" customWidth="1"/>
    <col min="4356" max="4356" width="11.42578125" style="4" customWidth="1"/>
    <col min="4357" max="4357" width="11.140625" style="4" customWidth="1"/>
    <col min="4358" max="4358" width="12.7109375" style="4" customWidth="1"/>
    <col min="4359" max="4359" width="11.28515625" style="4" customWidth="1"/>
    <col min="4360" max="4360" width="12.140625" style="4" customWidth="1"/>
    <col min="4361" max="4608" width="9.140625" style="4"/>
    <col min="4609" max="4609" width="5.85546875" style="4" customWidth="1"/>
    <col min="4610" max="4610" width="33.7109375" style="4" customWidth="1"/>
    <col min="4611" max="4611" width="11.7109375" style="4" customWidth="1"/>
    <col min="4612" max="4612" width="11.42578125" style="4" customWidth="1"/>
    <col min="4613" max="4613" width="11.140625" style="4" customWidth="1"/>
    <col min="4614" max="4614" width="12.7109375" style="4" customWidth="1"/>
    <col min="4615" max="4615" width="11.28515625" style="4" customWidth="1"/>
    <col min="4616" max="4616" width="12.140625" style="4" customWidth="1"/>
    <col min="4617" max="4864" width="9.140625" style="4"/>
    <col min="4865" max="4865" width="5.85546875" style="4" customWidth="1"/>
    <col min="4866" max="4866" width="33.7109375" style="4" customWidth="1"/>
    <col min="4867" max="4867" width="11.7109375" style="4" customWidth="1"/>
    <col min="4868" max="4868" width="11.42578125" style="4" customWidth="1"/>
    <col min="4869" max="4869" width="11.140625" style="4" customWidth="1"/>
    <col min="4870" max="4870" width="12.7109375" style="4" customWidth="1"/>
    <col min="4871" max="4871" width="11.28515625" style="4" customWidth="1"/>
    <col min="4872" max="4872" width="12.140625" style="4" customWidth="1"/>
    <col min="4873" max="5120" width="9.140625" style="4"/>
    <col min="5121" max="5121" width="5.85546875" style="4" customWidth="1"/>
    <col min="5122" max="5122" width="33.7109375" style="4" customWidth="1"/>
    <col min="5123" max="5123" width="11.7109375" style="4" customWidth="1"/>
    <col min="5124" max="5124" width="11.42578125" style="4" customWidth="1"/>
    <col min="5125" max="5125" width="11.140625" style="4" customWidth="1"/>
    <col min="5126" max="5126" width="12.7109375" style="4" customWidth="1"/>
    <col min="5127" max="5127" width="11.28515625" style="4" customWidth="1"/>
    <col min="5128" max="5128" width="12.140625" style="4" customWidth="1"/>
    <col min="5129" max="5376" width="9.140625" style="4"/>
    <col min="5377" max="5377" width="5.85546875" style="4" customWidth="1"/>
    <col min="5378" max="5378" width="33.7109375" style="4" customWidth="1"/>
    <col min="5379" max="5379" width="11.7109375" style="4" customWidth="1"/>
    <col min="5380" max="5380" width="11.42578125" style="4" customWidth="1"/>
    <col min="5381" max="5381" width="11.140625" style="4" customWidth="1"/>
    <col min="5382" max="5382" width="12.7109375" style="4" customWidth="1"/>
    <col min="5383" max="5383" width="11.28515625" style="4" customWidth="1"/>
    <col min="5384" max="5384" width="12.140625" style="4" customWidth="1"/>
    <col min="5385" max="5632" width="9.140625" style="4"/>
    <col min="5633" max="5633" width="5.85546875" style="4" customWidth="1"/>
    <col min="5634" max="5634" width="33.7109375" style="4" customWidth="1"/>
    <col min="5635" max="5635" width="11.7109375" style="4" customWidth="1"/>
    <col min="5636" max="5636" width="11.42578125" style="4" customWidth="1"/>
    <col min="5637" max="5637" width="11.140625" style="4" customWidth="1"/>
    <col min="5638" max="5638" width="12.7109375" style="4" customWidth="1"/>
    <col min="5639" max="5639" width="11.28515625" style="4" customWidth="1"/>
    <col min="5640" max="5640" width="12.140625" style="4" customWidth="1"/>
    <col min="5641" max="5888" width="9.140625" style="4"/>
    <col min="5889" max="5889" width="5.85546875" style="4" customWidth="1"/>
    <col min="5890" max="5890" width="33.7109375" style="4" customWidth="1"/>
    <col min="5891" max="5891" width="11.7109375" style="4" customWidth="1"/>
    <col min="5892" max="5892" width="11.42578125" style="4" customWidth="1"/>
    <col min="5893" max="5893" width="11.140625" style="4" customWidth="1"/>
    <col min="5894" max="5894" width="12.7109375" style="4" customWidth="1"/>
    <col min="5895" max="5895" width="11.28515625" style="4" customWidth="1"/>
    <col min="5896" max="5896" width="12.140625" style="4" customWidth="1"/>
    <col min="5897" max="6144" width="9.140625" style="4"/>
    <col min="6145" max="6145" width="5.85546875" style="4" customWidth="1"/>
    <col min="6146" max="6146" width="33.7109375" style="4" customWidth="1"/>
    <col min="6147" max="6147" width="11.7109375" style="4" customWidth="1"/>
    <col min="6148" max="6148" width="11.42578125" style="4" customWidth="1"/>
    <col min="6149" max="6149" width="11.140625" style="4" customWidth="1"/>
    <col min="6150" max="6150" width="12.7109375" style="4" customWidth="1"/>
    <col min="6151" max="6151" width="11.28515625" style="4" customWidth="1"/>
    <col min="6152" max="6152" width="12.140625" style="4" customWidth="1"/>
    <col min="6153" max="6400" width="9.140625" style="4"/>
    <col min="6401" max="6401" width="5.85546875" style="4" customWidth="1"/>
    <col min="6402" max="6402" width="33.7109375" style="4" customWidth="1"/>
    <col min="6403" max="6403" width="11.7109375" style="4" customWidth="1"/>
    <col min="6404" max="6404" width="11.42578125" style="4" customWidth="1"/>
    <col min="6405" max="6405" width="11.140625" style="4" customWidth="1"/>
    <col min="6406" max="6406" width="12.7109375" style="4" customWidth="1"/>
    <col min="6407" max="6407" width="11.28515625" style="4" customWidth="1"/>
    <col min="6408" max="6408" width="12.140625" style="4" customWidth="1"/>
    <col min="6409" max="6656" width="9.140625" style="4"/>
    <col min="6657" max="6657" width="5.85546875" style="4" customWidth="1"/>
    <col min="6658" max="6658" width="33.7109375" style="4" customWidth="1"/>
    <col min="6659" max="6659" width="11.7109375" style="4" customWidth="1"/>
    <col min="6660" max="6660" width="11.42578125" style="4" customWidth="1"/>
    <col min="6661" max="6661" width="11.140625" style="4" customWidth="1"/>
    <col min="6662" max="6662" width="12.7109375" style="4" customWidth="1"/>
    <col min="6663" max="6663" width="11.28515625" style="4" customWidth="1"/>
    <col min="6664" max="6664" width="12.140625" style="4" customWidth="1"/>
    <col min="6665" max="6912" width="9.140625" style="4"/>
    <col min="6913" max="6913" width="5.85546875" style="4" customWidth="1"/>
    <col min="6914" max="6914" width="33.7109375" style="4" customWidth="1"/>
    <col min="6915" max="6915" width="11.7109375" style="4" customWidth="1"/>
    <col min="6916" max="6916" width="11.42578125" style="4" customWidth="1"/>
    <col min="6917" max="6917" width="11.140625" style="4" customWidth="1"/>
    <col min="6918" max="6918" width="12.7109375" style="4" customWidth="1"/>
    <col min="6919" max="6919" width="11.28515625" style="4" customWidth="1"/>
    <col min="6920" max="6920" width="12.140625" style="4" customWidth="1"/>
    <col min="6921" max="7168" width="9.140625" style="4"/>
    <col min="7169" max="7169" width="5.85546875" style="4" customWidth="1"/>
    <col min="7170" max="7170" width="33.7109375" style="4" customWidth="1"/>
    <col min="7171" max="7171" width="11.7109375" style="4" customWidth="1"/>
    <col min="7172" max="7172" width="11.42578125" style="4" customWidth="1"/>
    <col min="7173" max="7173" width="11.140625" style="4" customWidth="1"/>
    <col min="7174" max="7174" width="12.7109375" style="4" customWidth="1"/>
    <col min="7175" max="7175" width="11.28515625" style="4" customWidth="1"/>
    <col min="7176" max="7176" width="12.140625" style="4" customWidth="1"/>
    <col min="7177" max="7424" width="9.140625" style="4"/>
    <col min="7425" max="7425" width="5.85546875" style="4" customWidth="1"/>
    <col min="7426" max="7426" width="33.7109375" style="4" customWidth="1"/>
    <col min="7427" max="7427" width="11.7109375" style="4" customWidth="1"/>
    <col min="7428" max="7428" width="11.42578125" style="4" customWidth="1"/>
    <col min="7429" max="7429" width="11.140625" style="4" customWidth="1"/>
    <col min="7430" max="7430" width="12.7109375" style="4" customWidth="1"/>
    <col min="7431" max="7431" width="11.28515625" style="4" customWidth="1"/>
    <col min="7432" max="7432" width="12.140625" style="4" customWidth="1"/>
    <col min="7433" max="7680" width="9.140625" style="4"/>
    <col min="7681" max="7681" width="5.85546875" style="4" customWidth="1"/>
    <col min="7682" max="7682" width="33.7109375" style="4" customWidth="1"/>
    <col min="7683" max="7683" width="11.7109375" style="4" customWidth="1"/>
    <col min="7684" max="7684" width="11.42578125" style="4" customWidth="1"/>
    <col min="7685" max="7685" width="11.140625" style="4" customWidth="1"/>
    <col min="7686" max="7686" width="12.7109375" style="4" customWidth="1"/>
    <col min="7687" max="7687" width="11.28515625" style="4" customWidth="1"/>
    <col min="7688" max="7688" width="12.140625" style="4" customWidth="1"/>
    <col min="7689" max="7936" width="9.140625" style="4"/>
    <col min="7937" max="7937" width="5.85546875" style="4" customWidth="1"/>
    <col min="7938" max="7938" width="33.7109375" style="4" customWidth="1"/>
    <col min="7939" max="7939" width="11.7109375" style="4" customWidth="1"/>
    <col min="7940" max="7940" width="11.42578125" style="4" customWidth="1"/>
    <col min="7941" max="7941" width="11.140625" style="4" customWidth="1"/>
    <col min="7942" max="7942" width="12.7109375" style="4" customWidth="1"/>
    <col min="7943" max="7943" width="11.28515625" style="4" customWidth="1"/>
    <col min="7944" max="7944" width="12.140625" style="4" customWidth="1"/>
    <col min="7945" max="8192" width="9.140625" style="4"/>
    <col min="8193" max="8193" width="5.85546875" style="4" customWidth="1"/>
    <col min="8194" max="8194" width="33.7109375" style="4" customWidth="1"/>
    <col min="8195" max="8195" width="11.7109375" style="4" customWidth="1"/>
    <col min="8196" max="8196" width="11.42578125" style="4" customWidth="1"/>
    <col min="8197" max="8197" width="11.140625" style="4" customWidth="1"/>
    <col min="8198" max="8198" width="12.7109375" style="4" customWidth="1"/>
    <col min="8199" max="8199" width="11.28515625" style="4" customWidth="1"/>
    <col min="8200" max="8200" width="12.140625" style="4" customWidth="1"/>
    <col min="8201" max="8448" width="9.140625" style="4"/>
    <col min="8449" max="8449" width="5.85546875" style="4" customWidth="1"/>
    <col min="8450" max="8450" width="33.7109375" style="4" customWidth="1"/>
    <col min="8451" max="8451" width="11.7109375" style="4" customWidth="1"/>
    <col min="8452" max="8452" width="11.42578125" style="4" customWidth="1"/>
    <col min="8453" max="8453" width="11.140625" style="4" customWidth="1"/>
    <col min="8454" max="8454" width="12.7109375" style="4" customWidth="1"/>
    <col min="8455" max="8455" width="11.28515625" style="4" customWidth="1"/>
    <col min="8456" max="8456" width="12.140625" style="4" customWidth="1"/>
    <col min="8457" max="8704" width="9.140625" style="4"/>
    <col min="8705" max="8705" width="5.85546875" style="4" customWidth="1"/>
    <col min="8706" max="8706" width="33.7109375" style="4" customWidth="1"/>
    <col min="8707" max="8707" width="11.7109375" style="4" customWidth="1"/>
    <col min="8708" max="8708" width="11.42578125" style="4" customWidth="1"/>
    <col min="8709" max="8709" width="11.140625" style="4" customWidth="1"/>
    <col min="8710" max="8710" width="12.7109375" style="4" customWidth="1"/>
    <col min="8711" max="8711" width="11.28515625" style="4" customWidth="1"/>
    <col min="8712" max="8712" width="12.140625" style="4" customWidth="1"/>
    <col min="8713" max="8960" width="9.140625" style="4"/>
    <col min="8961" max="8961" width="5.85546875" style="4" customWidth="1"/>
    <col min="8962" max="8962" width="33.7109375" style="4" customWidth="1"/>
    <col min="8963" max="8963" width="11.7109375" style="4" customWidth="1"/>
    <col min="8964" max="8964" width="11.42578125" style="4" customWidth="1"/>
    <col min="8965" max="8965" width="11.140625" style="4" customWidth="1"/>
    <col min="8966" max="8966" width="12.7109375" style="4" customWidth="1"/>
    <col min="8967" max="8967" width="11.28515625" style="4" customWidth="1"/>
    <col min="8968" max="8968" width="12.140625" style="4" customWidth="1"/>
    <col min="8969" max="9216" width="9.140625" style="4"/>
    <col min="9217" max="9217" width="5.85546875" style="4" customWidth="1"/>
    <col min="9218" max="9218" width="33.7109375" style="4" customWidth="1"/>
    <col min="9219" max="9219" width="11.7109375" style="4" customWidth="1"/>
    <col min="9220" max="9220" width="11.42578125" style="4" customWidth="1"/>
    <col min="9221" max="9221" width="11.140625" style="4" customWidth="1"/>
    <col min="9222" max="9222" width="12.7109375" style="4" customWidth="1"/>
    <col min="9223" max="9223" width="11.28515625" style="4" customWidth="1"/>
    <col min="9224" max="9224" width="12.140625" style="4" customWidth="1"/>
    <col min="9225" max="9472" width="9.140625" style="4"/>
    <col min="9473" max="9473" width="5.85546875" style="4" customWidth="1"/>
    <col min="9474" max="9474" width="33.7109375" style="4" customWidth="1"/>
    <col min="9475" max="9475" width="11.7109375" style="4" customWidth="1"/>
    <col min="9476" max="9476" width="11.42578125" style="4" customWidth="1"/>
    <col min="9477" max="9477" width="11.140625" style="4" customWidth="1"/>
    <col min="9478" max="9478" width="12.7109375" style="4" customWidth="1"/>
    <col min="9479" max="9479" width="11.28515625" style="4" customWidth="1"/>
    <col min="9480" max="9480" width="12.140625" style="4" customWidth="1"/>
    <col min="9481" max="9728" width="9.140625" style="4"/>
    <col min="9729" max="9729" width="5.85546875" style="4" customWidth="1"/>
    <col min="9730" max="9730" width="33.7109375" style="4" customWidth="1"/>
    <col min="9731" max="9731" width="11.7109375" style="4" customWidth="1"/>
    <col min="9732" max="9732" width="11.42578125" style="4" customWidth="1"/>
    <col min="9733" max="9733" width="11.140625" style="4" customWidth="1"/>
    <col min="9734" max="9734" width="12.7109375" style="4" customWidth="1"/>
    <col min="9735" max="9735" width="11.28515625" style="4" customWidth="1"/>
    <col min="9736" max="9736" width="12.140625" style="4" customWidth="1"/>
    <col min="9737" max="9984" width="9.140625" style="4"/>
    <col min="9985" max="9985" width="5.85546875" style="4" customWidth="1"/>
    <col min="9986" max="9986" width="33.7109375" style="4" customWidth="1"/>
    <col min="9987" max="9987" width="11.7109375" style="4" customWidth="1"/>
    <col min="9988" max="9988" width="11.42578125" style="4" customWidth="1"/>
    <col min="9989" max="9989" width="11.140625" style="4" customWidth="1"/>
    <col min="9990" max="9990" width="12.7109375" style="4" customWidth="1"/>
    <col min="9991" max="9991" width="11.28515625" style="4" customWidth="1"/>
    <col min="9992" max="9992" width="12.140625" style="4" customWidth="1"/>
    <col min="9993" max="10240" width="9.140625" style="4"/>
    <col min="10241" max="10241" width="5.85546875" style="4" customWidth="1"/>
    <col min="10242" max="10242" width="33.7109375" style="4" customWidth="1"/>
    <col min="10243" max="10243" width="11.7109375" style="4" customWidth="1"/>
    <col min="10244" max="10244" width="11.42578125" style="4" customWidth="1"/>
    <col min="10245" max="10245" width="11.140625" style="4" customWidth="1"/>
    <col min="10246" max="10246" width="12.7109375" style="4" customWidth="1"/>
    <col min="10247" max="10247" width="11.28515625" style="4" customWidth="1"/>
    <col min="10248" max="10248" width="12.140625" style="4" customWidth="1"/>
    <col min="10249" max="10496" width="9.140625" style="4"/>
    <col min="10497" max="10497" width="5.85546875" style="4" customWidth="1"/>
    <col min="10498" max="10498" width="33.7109375" style="4" customWidth="1"/>
    <col min="10499" max="10499" width="11.7109375" style="4" customWidth="1"/>
    <col min="10500" max="10500" width="11.42578125" style="4" customWidth="1"/>
    <col min="10501" max="10501" width="11.140625" style="4" customWidth="1"/>
    <col min="10502" max="10502" width="12.7109375" style="4" customWidth="1"/>
    <col min="10503" max="10503" width="11.28515625" style="4" customWidth="1"/>
    <col min="10504" max="10504" width="12.140625" style="4" customWidth="1"/>
    <col min="10505" max="10752" width="9.140625" style="4"/>
    <col min="10753" max="10753" width="5.85546875" style="4" customWidth="1"/>
    <col min="10754" max="10754" width="33.7109375" style="4" customWidth="1"/>
    <col min="10755" max="10755" width="11.7109375" style="4" customWidth="1"/>
    <col min="10756" max="10756" width="11.42578125" style="4" customWidth="1"/>
    <col min="10757" max="10757" width="11.140625" style="4" customWidth="1"/>
    <col min="10758" max="10758" width="12.7109375" style="4" customWidth="1"/>
    <col min="10759" max="10759" width="11.28515625" style="4" customWidth="1"/>
    <col min="10760" max="10760" width="12.140625" style="4" customWidth="1"/>
    <col min="10761" max="11008" width="9.140625" style="4"/>
    <col min="11009" max="11009" width="5.85546875" style="4" customWidth="1"/>
    <col min="11010" max="11010" width="33.7109375" style="4" customWidth="1"/>
    <col min="11011" max="11011" width="11.7109375" style="4" customWidth="1"/>
    <col min="11012" max="11012" width="11.42578125" style="4" customWidth="1"/>
    <col min="11013" max="11013" width="11.140625" style="4" customWidth="1"/>
    <col min="11014" max="11014" width="12.7109375" style="4" customWidth="1"/>
    <col min="11015" max="11015" width="11.28515625" style="4" customWidth="1"/>
    <col min="11016" max="11016" width="12.140625" style="4" customWidth="1"/>
    <col min="11017" max="11264" width="9.140625" style="4"/>
    <col min="11265" max="11265" width="5.85546875" style="4" customWidth="1"/>
    <col min="11266" max="11266" width="33.7109375" style="4" customWidth="1"/>
    <col min="11267" max="11267" width="11.7109375" style="4" customWidth="1"/>
    <col min="11268" max="11268" width="11.42578125" style="4" customWidth="1"/>
    <col min="11269" max="11269" width="11.140625" style="4" customWidth="1"/>
    <col min="11270" max="11270" width="12.7109375" style="4" customWidth="1"/>
    <col min="11271" max="11271" width="11.28515625" style="4" customWidth="1"/>
    <col min="11272" max="11272" width="12.140625" style="4" customWidth="1"/>
    <col min="11273" max="11520" width="9.140625" style="4"/>
    <col min="11521" max="11521" width="5.85546875" style="4" customWidth="1"/>
    <col min="11522" max="11522" width="33.7109375" style="4" customWidth="1"/>
    <col min="11523" max="11523" width="11.7109375" style="4" customWidth="1"/>
    <col min="11524" max="11524" width="11.42578125" style="4" customWidth="1"/>
    <col min="11525" max="11525" width="11.140625" style="4" customWidth="1"/>
    <col min="11526" max="11526" width="12.7109375" style="4" customWidth="1"/>
    <col min="11527" max="11527" width="11.28515625" style="4" customWidth="1"/>
    <col min="11528" max="11528" width="12.140625" style="4" customWidth="1"/>
    <col min="11529" max="11776" width="9.140625" style="4"/>
    <col min="11777" max="11777" width="5.85546875" style="4" customWidth="1"/>
    <col min="11778" max="11778" width="33.7109375" style="4" customWidth="1"/>
    <col min="11779" max="11779" width="11.7109375" style="4" customWidth="1"/>
    <col min="11780" max="11780" width="11.42578125" style="4" customWidth="1"/>
    <col min="11781" max="11781" width="11.140625" style="4" customWidth="1"/>
    <col min="11782" max="11782" width="12.7109375" style="4" customWidth="1"/>
    <col min="11783" max="11783" width="11.28515625" style="4" customWidth="1"/>
    <col min="11784" max="11784" width="12.140625" style="4" customWidth="1"/>
    <col min="11785" max="12032" width="9.140625" style="4"/>
    <col min="12033" max="12033" width="5.85546875" style="4" customWidth="1"/>
    <col min="12034" max="12034" width="33.7109375" style="4" customWidth="1"/>
    <col min="12035" max="12035" width="11.7109375" style="4" customWidth="1"/>
    <col min="12036" max="12036" width="11.42578125" style="4" customWidth="1"/>
    <col min="12037" max="12037" width="11.140625" style="4" customWidth="1"/>
    <col min="12038" max="12038" width="12.7109375" style="4" customWidth="1"/>
    <col min="12039" max="12039" width="11.28515625" style="4" customWidth="1"/>
    <col min="12040" max="12040" width="12.140625" style="4" customWidth="1"/>
    <col min="12041" max="12288" width="9.140625" style="4"/>
    <col min="12289" max="12289" width="5.85546875" style="4" customWidth="1"/>
    <col min="12290" max="12290" width="33.7109375" style="4" customWidth="1"/>
    <col min="12291" max="12291" width="11.7109375" style="4" customWidth="1"/>
    <col min="12292" max="12292" width="11.42578125" style="4" customWidth="1"/>
    <col min="12293" max="12293" width="11.140625" style="4" customWidth="1"/>
    <col min="12294" max="12294" width="12.7109375" style="4" customWidth="1"/>
    <col min="12295" max="12295" width="11.28515625" style="4" customWidth="1"/>
    <col min="12296" max="12296" width="12.140625" style="4" customWidth="1"/>
    <col min="12297" max="12544" width="9.140625" style="4"/>
    <col min="12545" max="12545" width="5.85546875" style="4" customWidth="1"/>
    <col min="12546" max="12546" width="33.7109375" style="4" customWidth="1"/>
    <col min="12547" max="12547" width="11.7109375" style="4" customWidth="1"/>
    <col min="12548" max="12548" width="11.42578125" style="4" customWidth="1"/>
    <col min="12549" max="12549" width="11.140625" style="4" customWidth="1"/>
    <col min="12550" max="12550" width="12.7109375" style="4" customWidth="1"/>
    <col min="12551" max="12551" width="11.28515625" style="4" customWidth="1"/>
    <col min="12552" max="12552" width="12.140625" style="4" customWidth="1"/>
    <col min="12553" max="12800" width="9.140625" style="4"/>
    <col min="12801" max="12801" width="5.85546875" style="4" customWidth="1"/>
    <col min="12802" max="12802" width="33.7109375" style="4" customWidth="1"/>
    <col min="12803" max="12803" width="11.7109375" style="4" customWidth="1"/>
    <col min="12804" max="12804" width="11.42578125" style="4" customWidth="1"/>
    <col min="12805" max="12805" width="11.140625" style="4" customWidth="1"/>
    <col min="12806" max="12806" width="12.7109375" style="4" customWidth="1"/>
    <col min="12807" max="12807" width="11.28515625" style="4" customWidth="1"/>
    <col min="12808" max="12808" width="12.140625" style="4" customWidth="1"/>
    <col min="12809" max="13056" width="9.140625" style="4"/>
    <col min="13057" max="13057" width="5.85546875" style="4" customWidth="1"/>
    <col min="13058" max="13058" width="33.7109375" style="4" customWidth="1"/>
    <col min="13059" max="13059" width="11.7109375" style="4" customWidth="1"/>
    <col min="13060" max="13060" width="11.42578125" style="4" customWidth="1"/>
    <col min="13061" max="13061" width="11.140625" style="4" customWidth="1"/>
    <col min="13062" max="13062" width="12.7109375" style="4" customWidth="1"/>
    <col min="13063" max="13063" width="11.28515625" style="4" customWidth="1"/>
    <col min="13064" max="13064" width="12.140625" style="4" customWidth="1"/>
    <col min="13065" max="13312" width="9.140625" style="4"/>
    <col min="13313" max="13313" width="5.85546875" style="4" customWidth="1"/>
    <col min="13314" max="13314" width="33.7109375" style="4" customWidth="1"/>
    <col min="13315" max="13315" width="11.7109375" style="4" customWidth="1"/>
    <col min="13316" max="13316" width="11.42578125" style="4" customWidth="1"/>
    <col min="13317" max="13317" width="11.140625" style="4" customWidth="1"/>
    <col min="13318" max="13318" width="12.7109375" style="4" customWidth="1"/>
    <col min="13319" max="13319" width="11.28515625" style="4" customWidth="1"/>
    <col min="13320" max="13320" width="12.140625" style="4" customWidth="1"/>
    <col min="13321" max="13568" width="9.140625" style="4"/>
    <col min="13569" max="13569" width="5.85546875" style="4" customWidth="1"/>
    <col min="13570" max="13570" width="33.7109375" style="4" customWidth="1"/>
    <col min="13571" max="13571" width="11.7109375" style="4" customWidth="1"/>
    <col min="13572" max="13572" width="11.42578125" style="4" customWidth="1"/>
    <col min="13573" max="13573" width="11.140625" style="4" customWidth="1"/>
    <col min="13574" max="13574" width="12.7109375" style="4" customWidth="1"/>
    <col min="13575" max="13575" width="11.28515625" style="4" customWidth="1"/>
    <col min="13576" max="13576" width="12.140625" style="4" customWidth="1"/>
    <col min="13577" max="13824" width="9.140625" style="4"/>
    <col min="13825" max="13825" width="5.85546875" style="4" customWidth="1"/>
    <col min="13826" max="13826" width="33.7109375" style="4" customWidth="1"/>
    <col min="13827" max="13827" width="11.7109375" style="4" customWidth="1"/>
    <col min="13828" max="13828" width="11.42578125" style="4" customWidth="1"/>
    <col min="13829" max="13829" width="11.140625" style="4" customWidth="1"/>
    <col min="13830" max="13830" width="12.7109375" style="4" customWidth="1"/>
    <col min="13831" max="13831" width="11.28515625" style="4" customWidth="1"/>
    <col min="13832" max="13832" width="12.140625" style="4" customWidth="1"/>
    <col min="13833" max="14080" width="9.140625" style="4"/>
    <col min="14081" max="14081" width="5.85546875" style="4" customWidth="1"/>
    <col min="14082" max="14082" width="33.7109375" style="4" customWidth="1"/>
    <col min="14083" max="14083" width="11.7109375" style="4" customWidth="1"/>
    <col min="14084" max="14084" width="11.42578125" style="4" customWidth="1"/>
    <col min="14085" max="14085" width="11.140625" style="4" customWidth="1"/>
    <col min="14086" max="14086" width="12.7109375" style="4" customWidth="1"/>
    <col min="14087" max="14087" width="11.28515625" style="4" customWidth="1"/>
    <col min="14088" max="14088" width="12.140625" style="4" customWidth="1"/>
    <col min="14089" max="14336" width="9.140625" style="4"/>
    <col min="14337" max="14337" width="5.85546875" style="4" customWidth="1"/>
    <col min="14338" max="14338" width="33.7109375" style="4" customWidth="1"/>
    <col min="14339" max="14339" width="11.7109375" style="4" customWidth="1"/>
    <col min="14340" max="14340" width="11.42578125" style="4" customWidth="1"/>
    <col min="14341" max="14341" width="11.140625" style="4" customWidth="1"/>
    <col min="14342" max="14342" width="12.7109375" style="4" customWidth="1"/>
    <col min="14343" max="14343" width="11.28515625" style="4" customWidth="1"/>
    <col min="14344" max="14344" width="12.140625" style="4" customWidth="1"/>
    <col min="14345" max="14592" width="9.140625" style="4"/>
    <col min="14593" max="14593" width="5.85546875" style="4" customWidth="1"/>
    <col min="14594" max="14594" width="33.7109375" style="4" customWidth="1"/>
    <col min="14595" max="14595" width="11.7109375" style="4" customWidth="1"/>
    <col min="14596" max="14596" width="11.42578125" style="4" customWidth="1"/>
    <col min="14597" max="14597" width="11.140625" style="4" customWidth="1"/>
    <col min="14598" max="14598" width="12.7109375" style="4" customWidth="1"/>
    <col min="14599" max="14599" width="11.28515625" style="4" customWidth="1"/>
    <col min="14600" max="14600" width="12.140625" style="4" customWidth="1"/>
    <col min="14601" max="14848" width="9.140625" style="4"/>
    <col min="14849" max="14849" width="5.85546875" style="4" customWidth="1"/>
    <col min="14850" max="14850" width="33.7109375" style="4" customWidth="1"/>
    <col min="14851" max="14851" width="11.7109375" style="4" customWidth="1"/>
    <col min="14852" max="14852" width="11.42578125" style="4" customWidth="1"/>
    <col min="14853" max="14853" width="11.140625" style="4" customWidth="1"/>
    <col min="14854" max="14854" width="12.7109375" style="4" customWidth="1"/>
    <col min="14855" max="14855" width="11.28515625" style="4" customWidth="1"/>
    <col min="14856" max="14856" width="12.140625" style="4" customWidth="1"/>
    <col min="14857" max="15104" width="9.140625" style="4"/>
    <col min="15105" max="15105" width="5.85546875" style="4" customWidth="1"/>
    <col min="15106" max="15106" width="33.7109375" style="4" customWidth="1"/>
    <col min="15107" max="15107" width="11.7109375" style="4" customWidth="1"/>
    <col min="15108" max="15108" width="11.42578125" style="4" customWidth="1"/>
    <col min="15109" max="15109" width="11.140625" style="4" customWidth="1"/>
    <col min="15110" max="15110" width="12.7109375" style="4" customWidth="1"/>
    <col min="15111" max="15111" width="11.28515625" style="4" customWidth="1"/>
    <col min="15112" max="15112" width="12.140625" style="4" customWidth="1"/>
    <col min="15113" max="15360" width="9.140625" style="4"/>
    <col min="15361" max="15361" width="5.85546875" style="4" customWidth="1"/>
    <col min="15362" max="15362" width="33.7109375" style="4" customWidth="1"/>
    <col min="15363" max="15363" width="11.7109375" style="4" customWidth="1"/>
    <col min="15364" max="15364" width="11.42578125" style="4" customWidth="1"/>
    <col min="15365" max="15365" width="11.140625" style="4" customWidth="1"/>
    <col min="15366" max="15366" width="12.7109375" style="4" customWidth="1"/>
    <col min="15367" max="15367" width="11.28515625" style="4" customWidth="1"/>
    <col min="15368" max="15368" width="12.140625" style="4" customWidth="1"/>
    <col min="15369" max="15616" width="9.140625" style="4"/>
    <col min="15617" max="15617" width="5.85546875" style="4" customWidth="1"/>
    <col min="15618" max="15618" width="33.7109375" style="4" customWidth="1"/>
    <col min="15619" max="15619" width="11.7109375" style="4" customWidth="1"/>
    <col min="15620" max="15620" width="11.42578125" style="4" customWidth="1"/>
    <col min="15621" max="15621" width="11.140625" style="4" customWidth="1"/>
    <col min="15622" max="15622" width="12.7109375" style="4" customWidth="1"/>
    <col min="15623" max="15623" width="11.28515625" style="4" customWidth="1"/>
    <col min="15624" max="15624" width="12.140625" style="4" customWidth="1"/>
    <col min="15625" max="15872" width="9.140625" style="4"/>
    <col min="15873" max="15873" width="5.85546875" style="4" customWidth="1"/>
    <col min="15874" max="15874" width="33.7109375" style="4" customWidth="1"/>
    <col min="15875" max="15875" width="11.7109375" style="4" customWidth="1"/>
    <col min="15876" max="15876" width="11.42578125" style="4" customWidth="1"/>
    <col min="15877" max="15877" width="11.140625" style="4" customWidth="1"/>
    <col min="15878" max="15878" width="12.7109375" style="4" customWidth="1"/>
    <col min="15879" max="15879" width="11.28515625" style="4" customWidth="1"/>
    <col min="15880" max="15880" width="12.140625" style="4" customWidth="1"/>
    <col min="15881" max="16128" width="9.140625" style="4"/>
    <col min="16129" max="16129" width="5.85546875" style="4" customWidth="1"/>
    <col min="16130" max="16130" width="33.7109375" style="4" customWidth="1"/>
    <col min="16131" max="16131" width="11.7109375" style="4" customWidth="1"/>
    <col min="16132" max="16132" width="11.42578125" style="4" customWidth="1"/>
    <col min="16133" max="16133" width="11.140625" style="4" customWidth="1"/>
    <col min="16134" max="16134" width="12.7109375" style="4" customWidth="1"/>
    <col min="16135" max="16135" width="11.28515625" style="4" customWidth="1"/>
    <col min="16136" max="16136" width="12.140625" style="4" customWidth="1"/>
    <col min="16137" max="16384" width="9.140625" style="4"/>
  </cols>
  <sheetData>
    <row r="1" spans="1:8" ht="28.35" customHeight="1" x14ac:dyDescent="0.2">
      <c r="A1" s="316" t="s">
        <v>0</v>
      </c>
      <c r="B1" s="269"/>
      <c r="C1" s="269"/>
      <c r="D1" s="269"/>
      <c r="E1" s="269"/>
      <c r="F1" s="269"/>
      <c r="G1" s="269"/>
      <c r="H1" s="269"/>
    </row>
    <row r="2" spans="1:8" ht="17.100000000000001" customHeight="1" x14ac:dyDescent="0.2">
      <c r="A2" s="270" t="s">
        <v>437</v>
      </c>
      <c r="B2" s="269"/>
      <c r="C2" s="269"/>
      <c r="D2" s="269"/>
      <c r="E2" s="269"/>
      <c r="F2" s="269"/>
      <c r="G2" s="269"/>
      <c r="H2" s="269"/>
    </row>
    <row r="3" spans="1:8" ht="17.100000000000001" customHeight="1" x14ac:dyDescent="0.2">
      <c r="A3" s="317"/>
      <c r="B3" s="269"/>
      <c r="C3" s="269"/>
      <c r="D3" s="269"/>
      <c r="E3" s="269"/>
      <c r="F3" s="269"/>
      <c r="G3" s="269"/>
      <c r="H3" s="269"/>
    </row>
    <row r="4" spans="1:8" ht="11.45" customHeight="1" x14ac:dyDescent="0.2">
      <c r="A4" s="318" t="s">
        <v>541</v>
      </c>
      <c r="B4" s="319"/>
      <c r="C4" s="320">
        <v>2021</v>
      </c>
      <c r="D4" s="321"/>
      <c r="E4" s="319"/>
      <c r="F4" s="320">
        <v>2020</v>
      </c>
      <c r="G4" s="321"/>
      <c r="H4" s="319"/>
    </row>
    <row r="5" spans="1:8" ht="18" x14ac:dyDescent="0.2">
      <c r="A5" s="5" t="s">
        <v>7</v>
      </c>
      <c r="B5" s="5" t="s">
        <v>8</v>
      </c>
      <c r="C5" s="6" t="s">
        <v>440</v>
      </c>
      <c r="D5" s="6" t="s">
        <v>539</v>
      </c>
      <c r="E5" s="6" t="s">
        <v>540</v>
      </c>
      <c r="F5" s="6" t="s">
        <v>440</v>
      </c>
      <c r="G5" s="6" t="s">
        <v>539</v>
      </c>
      <c r="H5" s="6" t="s">
        <v>538</v>
      </c>
    </row>
    <row r="6" spans="1:8" x14ac:dyDescent="0.2">
      <c r="A6" s="9" t="s">
        <v>202</v>
      </c>
      <c r="B6" s="9" t="s">
        <v>203</v>
      </c>
      <c r="C6" s="9"/>
      <c r="D6" s="9"/>
      <c r="E6" s="9"/>
      <c r="F6" s="9"/>
      <c r="G6" s="9"/>
      <c r="H6" s="9"/>
    </row>
    <row r="7" spans="1:8" x14ac:dyDescent="0.2">
      <c r="A7" s="10" t="s">
        <v>537</v>
      </c>
      <c r="B7" s="10" t="s">
        <v>536</v>
      </c>
      <c r="C7" s="10"/>
      <c r="D7" s="10"/>
      <c r="E7" s="10"/>
      <c r="F7" s="10"/>
      <c r="G7" s="10"/>
      <c r="H7" s="10"/>
    </row>
    <row r="8" spans="1:8" x14ac:dyDescent="0.2">
      <c r="A8" s="11" t="s">
        <v>535</v>
      </c>
      <c r="B8" s="11" t="s">
        <v>205</v>
      </c>
      <c r="C8" s="16">
        <v>10799</v>
      </c>
      <c r="D8" s="12">
        <f>'Stampa rendiconto PI - USCITE'!K13</f>
        <v>319742</v>
      </c>
      <c r="E8" s="12">
        <f>'Stampa rendiconto PII - USCITE'!L13</f>
        <v>335492</v>
      </c>
      <c r="F8" s="12">
        <v>26549</v>
      </c>
      <c r="G8" s="12">
        <v>332518</v>
      </c>
      <c r="H8" s="12">
        <v>339347</v>
      </c>
    </row>
    <row r="9" spans="1:8" ht="16.5" x14ac:dyDescent="0.2">
      <c r="A9" s="11" t="s">
        <v>534</v>
      </c>
      <c r="B9" s="11" t="s">
        <v>214</v>
      </c>
      <c r="C9" s="16">
        <v>45233</v>
      </c>
      <c r="D9" s="12">
        <f>'Stampa rendiconto PI - USCITE'!K24</f>
        <v>4996850</v>
      </c>
      <c r="E9" s="12">
        <f>'Stampa rendiconto PII - USCITE'!L24</f>
        <v>4975874</v>
      </c>
      <c r="F9" s="12">
        <v>24257</v>
      </c>
      <c r="G9" s="12">
        <v>3746113</v>
      </c>
      <c r="H9" s="12">
        <v>3756801</v>
      </c>
    </row>
    <row r="10" spans="1:8" ht="16.5" x14ac:dyDescent="0.2">
      <c r="A10" s="11" t="s">
        <v>533</v>
      </c>
      <c r="B10" s="11" t="s">
        <v>235</v>
      </c>
      <c r="C10" s="16">
        <v>142579</v>
      </c>
      <c r="D10" s="12">
        <f>'Stampa rendiconto PI - USCITE'!K44</f>
        <v>483440</v>
      </c>
      <c r="E10" s="12">
        <f>'Stampa rendiconto PII - USCITE'!L44</f>
        <v>476333</v>
      </c>
      <c r="F10" s="12">
        <v>135671</v>
      </c>
      <c r="G10" s="12">
        <v>421423</v>
      </c>
      <c r="H10" s="12">
        <v>412418</v>
      </c>
    </row>
    <row r="11" spans="1:8" x14ac:dyDescent="0.2">
      <c r="A11" s="322" t="s">
        <v>532</v>
      </c>
      <c r="B11" s="319"/>
      <c r="C11" s="15">
        <f t="shared" ref="C11:H11" si="0">SUM(C8:C10)</f>
        <v>198611</v>
      </c>
      <c r="D11" s="13">
        <f t="shared" si="0"/>
        <v>5800032</v>
      </c>
      <c r="E11" s="13">
        <f t="shared" si="0"/>
        <v>5787699</v>
      </c>
      <c r="F11" s="13">
        <f t="shared" si="0"/>
        <v>186477</v>
      </c>
      <c r="G11" s="13">
        <f t="shared" si="0"/>
        <v>4500054</v>
      </c>
      <c r="H11" s="13">
        <f t="shared" si="0"/>
        <v>4508566</v>
      </c>
    </row>
    <row r="12" spans="1:8" x14ac:dyDescent="0.2">
      <c r="A12" s="10" t="s">
        <v>531</v>
      </c>
      <c r="B12" s="10" t="s">
        <v>530</v>
      </c>
      <c r="C12" s="10"/>
      <c r="D12" s="10"/>
      <c r="E12" s="10"/>
      <c r="F12" s="10"/>
      <c r="G12" s="10"/>
      <c r="H12" s="10"/>
    </row>
    <row r="13" spans="1:8" x14ac:dyDescent="0.2">
      <c r="A13" s="11" t="s">
        <v>529</v>
      </c>
      <c r="B13" s="11" t="s">
        <v>274</v>
      </c>
      <c r="C13" s="16">
        <v>2117220</v>
      </c>
      <c r="D13" s="12">
        <f>'Stampa rendiconto PI - USCITE'!K51</f>
        <v>5388777</v>
      </c>
      <c r="E13" s="12">
        <f>'Stampa rendiconto PII - USCITE'!L51</f>
        <v>4459132</v>
      </c>
      <c r="F13" s="12">
        <v>1188536</v>
      </c>
      <c r="G13" s="12">
        <v>2701941</v>
      </c>
      <c r="H13" s="12">
        <v>3070878</v>
      </c>
    </row>
    <row r="14" spans="1:8" x14ac:dyDescent="0.2">
      <c r="A14" s="11" t="s">
        <v>528</v>
      </c>
      <c r="B14" s="11" t="s">
        <v>287</v>
      </c>
      <c r="C14" s="16">
        <v>133158</v>
      </c>
      <c r="D14" s="12">
        <f>'Stampa rendiconto PI - USCITE'!K56</f>
        <v>390951</v>
      </c>
      <c r="E14" s="12">
        <f>'Stampa rendiconto PII - USCITE'!L56</f>
        <v>262743</v>
      </c>
      <c r="F14" s="12">
        <v>4950</v>
      </c>
      <c r="G14" s="12">
        <v>268546</v>
      </c>
      <c r="H14" s="12">
        <v>284139</v>
      </c>
    </row>
    <row r="15" spans="1:8" x14ac:dyDescent="0.2">
      <c r="A15" s="11" t="s">
        <v>527</v>
      </c>
      <c r="B15" s="11" t="s">
        <v>296</v>
      </c>
      <c r="C15" s="16">
        <v>8505</v>
      </c>
      <c r="D15" s="12">
        <f>'Stampa rendiconto PI - USCITE'!K59</f>
        <v>15325</v>
      </c>
      <c r="E15" s="12">
        <f>'Stampa rendiconto PII - USCITE'!L59</f>
        <v>19805</v>
      </c>
      <c r="F15" s="12">
        <v>12985</v>
      </c>
      <c r="G15" s="12">
        <v>5058</v>
      </c>
      <c r="H15" s="12">
        <v>19890</v>
      </c>
    </row>
    <row r="16" spans="1:8" x14ac:dyDescent="0.2">
      <c r="A16" s="11" t="s">
        <v>526</v>
      </c>
      <c r="B16" s="11" t="s">
        <v>301</v>
      </c>
      <c r="C16" s="16">
        <v>11809</v>
      </c>
      <c r="D16" s="12">
        <f>'Stampa rendiconto PI - USCITE'!K62</f>
        <v>356404</v>
      </c>
      <c r="E16" s="12">
        <f>'Stampa rendiconto PII - USCITE'!L62</f>
        <v>346159</v>
      </c>
      <c r="F16" s="12">
        <v>1564</v>
      </c>
      <c r="G16" s="12">
        <v>281274</v>
      </c>
      <c r="H16" s="12">
        <v>281274</v>
      </c>
    </row>
    <row r="17" spans="1:10" ht="16.5" x14ac:dyDescent="0.2">
      <c r="A17" s="11" t="s">
        <v>525</v>
      </c>
      <c r="B17" s="11" t="s">
        <v>306</v>
      </c>
      <c r="C17" s="16">
        <v>134575</v>
      </c>
      <c r="D17" s="12">
        <f>'Stampa rendiconto PI - USCITE'!K65</f>
        <v>214089</v>
      </c>
      <c r="E17" s="12">
        <f>'Stampa rendiconto PII - USCITE'!L65</f>
        <v>79619</v>
      </c>
      <c r="F17" s="12">
        <v>105</v>
      </c>
      <c r="G17" s="12">
        <v>22298</v>
      </c>
      <c r="H17" s="12">
        <v>22298</v>
      </c>
    </row>
    <row r="18" spans="1:10" ht="16.5" x14ac:dyDescent="0.2">
      <c r="A18" s="11" t="s">
        <v>524</v>
      </c>
      <c r="B18" s="11" t="s">
        <v>311</v>
      </c>
      <c r="C18" s="16">
        <v>395817</v>
      </c>
      <c r="D18" s="12">
        <f>'Stampa rendiconto PI - USCITE'!K71</f>
        <v>473863</v>
      </c>
      <c r="E18" s="12">
        <f>'Stampa rendiconto PII - USCITE'!L71</f>
        <v>473863</v>
      </c>
      <c r="F18" s="12">
        <v>395817</v>
      </c>
      <c r="G18" s="12">
        <v>336876</v>
      </c>
      <c r="H18" s="12">
        <v>339602</v>
      </c>
    </row>
    <row r="19" spans="1:10" x14ac:dyDescent="0.2">
      <c r="A19" s="322" t="s">
        <v>523</v>
      </c>
      <c r="B19" s="319"/>
      <c r="C19" s="13">
        <f t="shared" ref="C19:G19" si="1">SUM(C13:C18)</f>
        <v>2801084</v>
      </c>
      <c r="D19" s="13">
        <f t="shared" si="1"/>
        <v>6839409</v>
      </c>
      <c r="E19" s="13">
        <f t="shared" si="1"/>
        <v>5641321</v>
      </c>
      <c r="F19" s="13">
        <f t="shared" si="1"/>
        <v>1603957</v>
      </c>
      <c r="G19" s="13">
        <f t="shared" si="1"/>
        <v>3615993</v>
      </c>
      <c r="H19" s="13">
        <f>SUM(H13:H18)</f>
        <v>4018081</v>
      </c>
      <c r="J19" s="19"/>
    </row>
    <row r="20" spans="1:10" ht="16.5" x14ac:dyDescent="0.2">
      <c r="A20" s="10" t="s">
        <v>522</v>
      </c>
      <c r="B20" s="10" t="s">
        <v>521</v>
      </c>
      <c r="C20" s="10"/>
      <c r="D20" s="10"/>
      <c r="E20" s="10"/>
      <c r="F20" s="10"/>
      <c r="G20" s="10"/>
      <c r="H20" s="10"/>
    </row>
    <row r="21" spans="1:10" ht="16.5" x14ac:dyDescent="0.2">
      <c r="A21" s="11" t="s">
        <v>520</v>
      </c>
      <c r="B21" s="11" t="s">
        <v>322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10" ht="16.5" x14ac:dyDescent="0.2">
      <c r="A22" s="11" t="s">
        <v>519</v>
      </c>
      <c r="B22" s="11" t="s">
        <v>327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10" x14ac:dyDescent="0.2">
      <c r="A23" s="322" t="s">
        <v>518</v>
      </c>
      <c r="B23" s="319"/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10" ht="16.5" x14ac:dyDescent="0.2">
      <c r="A24" s="10" t="s">
        <v>517</v>
      </c>
      <c r="B24" s="10" t="s">
        <v>516</v>
      </c>
      <c r="C24" s="10"/>
      <c r="D24" s="10"/>
      <c r="E24" s="10"/>
      <c r="F24" s="10"/>
      <c r="G24" s="10"/>
      <c r="H24" s="10"/>
    </row>
    <row r="25" spans="1:10" x14ac:dyDescent="0.2">
      <c r="A25" s="11" t="s">
        <v>515</v>
      </c>
      <c r="B25" s="11" t="s">
        <v>332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10" x14ac:dyDescent="0.2">
      <c r="A26" s="322" t="s">
        <v>514</v>
      </c>
      <c r="B26" s="319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10" ht="16.5" x14ac:dyDescent="0.2">
      <c r="A27" s="10" t="s">
        <v>513</v>
      </c>
      <c r="B27" s="10" t="s">
        <v>512</v>
      </c>
      <c r="C27" s="10"/>
      <c r="D27" s="10"/>
      <c r="E27" s="10"/>
      <c r="F27" s="10"/>
      <c r="G27" s="10"/>
      <c r="H27" s="10"/>
    </row>
    <row r="28" spans="1:10" x14ac:dyDescent="0.2">
      <c r="A28" s="322" t="s">
        <v>511</v>
      </c>
      <c r="B28" s="319"/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10" x14ac:dyDescent="0.2">
      <c r="A29" s="322" t="s">
        <v>510</v>
      </c>
      <c r="B29" s="319"/>
      <c r="C29" s="13">
        <f>C11+C19</f>
        <v>2999695</v>
      </c>
      <c r="D29" s="13">
        <f>D11+D19</f>
        <v>12639441</v>
      </c>
      <c r="E29" s="13">
        <f>E11+E19</f>
        <v>11429020</v>
      </c>
      <c r="F29" s="13">
        <f>F11+F19+F23+F26</f>
        <v>1790434</v>
      </c>
      <c r="G29" s="13">
        <f>G11+G19+G23+G26</f>
        <v>8116047</v>
      </c>
      <c r="H29" s="13">
        <f>H11+H19+H23+H26</f>
        <v>8526647</v>
      </c>
    </row>
    <row r="30" spans="1:10" ht="16.5" x14ac:dyDescent="0.2">
      <c r="A30" s="9" t="s">
        <v>337</v>
      </c>
      <c r="B30" s="9" t="s">
        <v>338</v>
      </c>
      <c r="C30" s="9"/>
      <c r="D30" s="9"/>
      <c r="E30" s="9"/>
      <c r="F30" s="9"/>
      <c r="G30" s="9"/>
      <c r="H30" s="9"/>
    </row>
    <row r="31" spans="1:10" x14ac:dyDescent="0.2">
      <c r="A31" s="10" t="s">
        <v>509</v>
      </c>
      <c r="B31" s="10" t="s">
        <v>508</v>
      </c>
      <c r="C31" s="10"/>
      <c r="D31" s="10"/>
      <c r="E31" s="10"/>
      <c r="F31" s="10"/>
      <c r="G31" s="10"/>
      <c r="H31" s="10"/>
    </row>
    <row r="32" spans="1:10" ht="16.5" x14ac:dyDescent="0.2">
      <c r="A32" s="11" t="s">
        <v>507</v>
      </c>
      <c r="B32" s="11" t="s">
        <v>340</v>
      </c>
      <c r="C32" s="16">
        <v>44886529</v>
      </c>
      <c r="D32" s="12">
        <f>'Stampa rendiconto PI - USCITE'!K88</f>
        <v>34033597</v>
      </c>
      <c r="E32" s="12">
        <f>'Stampa rendiconto PII - USCITE'!L88</f>
        <v>47555762</v>
      </c>
      <c r="F32" s="12">
        <v>58408694</v>
      </c>
      <c r="G32" s="12">
        <v>15666208</v>
      </c>
      <c r="H32" s="12">
        <v>32484453</v>
      </c>
    </row>
    <row r="33" spans="1:8" ht="16.5" x14ac:dyDescent="0.2">
      <c r="A33" s="11" t="s">
        <v>506</v>
      </c>
      <c r="B33" s="11" t="s">
        <v>351</v>
      </c>
      <c r="C33" s="16">
        <v>115822</v>
      </c>
      <c r="D33" s="12">
        <f>'Stampa rendiconto PI - USCITE'!K95</f>
        <v>379354</v>
      </c>
      <c r="E33" s="12">
        <f>'Stampa rendiconto PII - USCITE'!L95</f>
        <v>461628</v>
      </c>
      <c r="F33" s="12">
        <v>198096</v>
      </c>
      <c r="G33" s="12">
        <v>440190</v>
      </c>
      <c r="H33" s="12">
        <v>331252</v>
      </c>
    </row>
    <row r="34" spans="1:8" ht="24.75" x14ac:dyDescent="0.2">
      <c r="A34" s="11" t="s">
        <v>505</v>
      </c>
      <c r="B34" s="11" t="s">
        <v>504</v>
      </c>
      <c r="C34" s="16">
        <v>4174183</v>
      </c>
      <c r="D34" s="12">
        <f>'Stampa rendiconto PI - USCITE'!K99</f>
        <v>60</v>
      </c>
      <c r="E34" s="12">
        <f>'Stampa rendiconto PII - USCITE'!L99</f>
        <v>359799</v>
      </c>
      <c r="F34" s="12">
        <v>4533922</v>
      </c>
      <c r="G34" s="12">
        <v>3743696</v>
      </c>
      <c r="H34" s="12">
        <v>125576</v>
      </c>
    </row>
    <row r="35" spans="1:8" ht="16.5" x14ac:dyDescent="0.2">
      <c r="A35" s="11" t="s">
        <v>503</v>
      </c>
      <c r="B35" s="11" t="s">
        <v>370</v>
      </c>
      <c r="C35" s="16">
        <v>0</v>
      </c>
      <c r="D35" s="12">
        <f>'Stampa rendiconto PI - USCITE'!K104</f>
        <v>0</v>
      </c>
      <c r="E35" s="12">
        <f>'[2]Stampa rendiconto PII - USCITE'!L104</f>
        <v>0</v>
      </c>
      <c r="F35" s="12">
        <v>0</v>
      </c>
      <c r="G35" s="12">
        <f>'[3]Stampa rendiconto PI - USCITE'!K104</f>
        <v>0</v>
      </c>
      <c r="H35" s="12">
        <v>0</v>
      </c>
    </row>
    <row r="36" spans="1:8" ht="16.5" x14ac:dyDescent="0.2">
      <c r="A36" s="11" t="s">
        <v>502</v>
      </c>
      <c r="B36" s="11" t="s">
        <v>379</v>
      </c>
      <c r="C36" s="16">
        <v>12714</v>
      </c>
      <c r="D36" s="12">
        <f>'Stampa rendiconto PI - USCITE'!K109</f>
        <v>112256</v>
      </c>
      <c r="E36" s="12">
        <f>'Stampa rendiconto PII - USCITE'!L109</f>
        <v>106633</v>
      </c>
      <c r="F36" s="12">
        <v>7091</v>
      </c>
      <c r="G36" s="12">
        <v>140618</v>
      </c>
      <c r="H36" s="12">
        <v>140533</v>
      </c>
    </row>
    <row r="37" spans="1:8" x14ac:dyDescent="0.2">
      <c r="A37" s="322" t="s">
        <v>501</v>
      </c>
      <c r="B37" s="319"/>
      <c r="C37" s="13">
        <f t="shared" ref="C37:H37" si="2">SUM(C32:C36)</f>
        <v>49189248</v>
      </c>
      <c r="D37" s="13">
        <f t="shared" si="2"/>
        <v>34525267</v>
      </c>
      <c r="E37" s="13">
        <f t="shared" si="2"/>
        <v>48483822</v>
      </c>
      <c r="F37" s="13">
        <f t="shared" si="2"/>
        <v>63147803</v>
      </c>
      <c r="G37" s="13">
        <f t="shared" si="2"/>
        <v>19990712</v>
      </c>
      <c r="H37" s="13">
        <f t="shared" si="2"/>
        <v>33081814</v>
      </c>
    </row>
    <row r="38" spans="1:8" x14ac:dyDescent="0.2">
      <c r="A38" s="10" t="s">
        <v>500</v>
      </c>
      <c r="B38" s="10" t="s">
        <v>499</v>
      </c>
      <c r="C38" s="10"/>
      <c r="D38" s="10"/>
      <c r="E38" s="10"/>
      <c r="F38" s="10"/>
      <c r="G38" s="10"/>
      <c r="H38" s="10"/>
    </row>
    <row r="39" spans="1:8" x14ac:dyDescent="0.2">
      <c r="A39" s="11" t="s">
        <v>498</v>
      </c>
      <c r="B39" s="11" t="s">
        <v>388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11" t="s">
        <v>497</v>
      </c>
      <c r="B40" s="11" t="s">
        <v>395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 x14ac:dyDescent="0.2">
      <c r="A41" s="11" t="s">
        <v>496</v>
      </c>
      <c r="B41" s="11" t="s">
        <v>400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ht="16.5" x14ac:dyDescent="0.2">
      <c r="A42" s="11" t="s">
        <v>495</v>
      </c>
      <c r="B42" s="11" t="s">
        <v>405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">
      <c r="A43" s="11" t="s">
        <v>494</v>
      </c>
      <c r="B43" s="11" t="s">
        <v>410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1:8" x14ac:dyDescent="0.2">
      <c r="A44" s="322" t="s">
        <v>493</v>
      </c>
      <c r="B44" s="319"/>
      <c r="C44" s="13">
        <v>0</v>
      </c>
      <c r="D44" s="13">
        <v>0</v>
      </c>
      <c r="E44" s="13">
        <v>0</v>
      </c>
      <c r="F44" s="13">
        <v>0</v>
      </c>
      <c r="G44" s="13">
        <f>SUM(G39:G43)</f>
        <v>0</v>
      </c>
      <c r="H44" s="13">
        <f>SUM(H39:H43)</f>
        <v>0</v>
      </c>
    </row>
    <row r="45" spans="1:8" x14ac:dyDescent="0.2">
      <c r="A45" s="322" t="s">
        <v>492</v>
      </c>
      <c r="B45" s="319"/>
      <c r="C45" s="13">
        <f>C37</f>
        <v>49189248</v>
      </c>
      <c r="D45" s="13">
        <f>D37</f>
        <v>34525267</v>
      </c>
      <c r="E45" s="13">
        <f>E37</f>
        <v>48483822</v>
      </c>
      <c r="F45" s="13">
        <f>F37</f>
        <v>63147803</v>
      </c>
      <c r="G45" s="13">
        <f>G37+G44</f>
        <v>19990712</v>
      </c>
      <c r="H45" s="13">
        <f>H37+H44</f>
        <v>33081814</v>
      </c>
    </row>
    <row r="46" spans="1:8" x14ac:dyDescent="0.2">
      <c r="A46" s="9" t="s">
        <v>415</v>
      </c>
      <c r="B46" s="9" t="s">
        <v>416</v>
      </c>
      <c r="C46" s="9"/>
      <c r="D46" s="9"/>
      <c r="E46" s="9"/>
      <c r="F46" s="9"/>
      <c r="G46" s="9"/>
      <c r="H46" s="9"/>
    </row>
    <row r="47" spans="1:8" ht="16.5" x14ac:dyDescent="0.2">
      <c r="A47" s="10" t="s">
        <v>491</v>
      </c>
      <c r="B47" s="10" t="s">
        <v>490</v>
      </c>
      <c r="C47" s="10"/>
      <c r="D47" s="10"/>
      <c r="E47" s="10"/>
      <c r="F47" s="10"/>
      <c r="G47" s="10"/>
      <c r="H47" s="10"/>
    </row>
    <row r="48" spans="1:8" ht="16.5" x14ac:dyDescent="0.2">
      <c r="A48" s="11" t="s">
        <v>489</v>
      </c>
      <c r="B48" s="11" t="s">
        <v>418</v>
      </c>
      <c r="C48" s="16">
        <v>347422</v>
      </c>
      <c r="D48" s="12">
        <f>'Stampa rendiconto PI - USCITE'!K138</f>
        <v>2613131</v>
      </c>
      <c r="E48" s="12">
        <f>'Stampa rendiconto PII - USCITE'!L138</f>
        <v>2392753</v>
      </c>
      <c r="F48" s="12">
        <v>127044</v>
      </c>
      <c r="G48" s="12">
        <v>1837866</v>
      </c>
      <c r="H48" s="12">
        <v>1801629</v>
      </c>
    </row>
    <row r="49" spans="1:9" x14ac:dyDescent="0.2">
      <c r="A49" s="322" t="s">
        <v>488</v>
      </c>
      <c r="B49" s="319"/>
      <c r="C49" s="13">
        <f t="shared" ref="C49:H50" si="3">C48</f>
        <v>347422</v>
      </c>
      <c r="D49" s="13">
        <f t="shared" si="3"/>
        <v>2613131</v>
      </c>
      <c r="E49" s="13">
        <f t="shared" si="3"/>
        <v>2392753</v>
      </c>
      <c r="F49" s="13">
        <f t="shared" si="3"/>
        <v>127044</v>
      </c>
      <c r="G49" s="13">
        <f t="shared" si="3"/>
        <v>1837866</v>
      </c>
      <c r="H49" s="13">
        <f t="shared" si="3"/>
        <v>1801629</v>
      </c>
    </row>
    <row r="50" spans="1:9" x14ac:dyDescent="0.2">
      <c r="A50" s="322" t="s">
        <v>487</v>
      </c>
      <c r="B50" s="319"/>
      <c r="C50" s="13">
        <f t="shared" si="3"/>
        <v>347422</v>
      </c>
      <c r="D50" s="13">
        <f t="shared" si="3"/>
        <v>2613131</v>
      </c>
      <c r="E50" s="13">
        <f t="shared" si="3"/>
        <v>2392753</v>
      </c>
      <c r="F50" s="13">
        <f t="shared" si="3"/>
        <v>127044</v>
      </c>
      <c r="G50" s="13">
        <f t="shared" si="3"/>
        <v>1837866</v>
      </c>
      <c r="H50" s="13">
        <f t="shared" si="3"/>
        <v>1801629</v>
      </c>
    </row>
    <row r="51" spans="1:9" x14ac:dyDescent="0.2">
      <c r="A51" s="323" t="s">
        <v>486</v>
      </c>
      <c r="B51" s="319"/>
      <c r="C51" s="20">
        <f t="shared" ref="C51:H51" si="4">C29+C45+C50</f>
        <v>52536365</v>
      </c>
      <c r="D51" s="20">
        <f t="shared" si="4"/>
        <v>49777839</v>
      </c>
      <c r="E51" s="20">
        <f t="shared" si="4"/>
        <v>62305595</v>
      </c>
      <c r="F51" s="20">
        <f t="shared" si="4"/>
        <v>65065281</v>
      </c>
      <c r="G51" s="20">
        <f t="shared" si="4"/>
        <v>29944625</v>
      </c>
      <c r="H51" s="20">
        <f t="shared" si="4"/>
        <v>43410090</v>
      </c>
      <c r="I51" s="19"/>
    </row>
  </sheetData>
  <mergeCells count="18">
    <mergeCell ref="A49:B49"/>
    <mergeCell ref="A50:B50"/>
    <mergeCell ref="A51:B51"/>
    <mergeCell ref="A11:B11"/>
    <mergeCell ref="A19:B19"/>
    <mergeCell ref="A23:B23"/>
    <mergeCell ref="A26:B26"/>
    <mergeCell ref="A28:B28"/>
    <mergeCell ref="A29:B29"/>
    <mergeCell ref="A37:B37"/>
    <mergeCell ref="A44:B44"/>
    <mergeCell ref="A45:B45"/>
    <mergeCell ref="A1:H1"/>
    <mergeCell ref="A2:H2"/>
    <mergeCell ref="A3:H3"/>
    <mergeCell ref="A4:B4"/>
    <mergeCell ref="C4:E4"/>
    <mergeCell ref="F4:H4"/>
  </mergeCells>
  <pageMargins left="0" right="0" top="0.98425196850393704" bottom="0.98425196850393704" header="0" footer="0"/>
  <pageSetup paperSize="9" scale="90" orientation="portrait" r:id="rId1"/>
  <headerFooter alignWithMargins="0">
    <oddFooter>&amp;L&amp;C&amp;"Arial"&amp;8&amp;P 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showGridLines="0" topLeftCell="A23" zoomScale="148" zoomScaleNormal="148" workbookViewId="0">
      <selection activeCell="H45" sqref="H45"/>
    </sheetView>
  </sheetViews>
  <sheetFormatPr defaultRowHeight="12.75" x14ac:dyDescent="0.2"/>
  <cols>
    <col min="1" max="1" width="5.85546875" style="4" customWidth="1"/>
    <col min="2" max="2" width="33.7109375" style="4" customWidth="1"/>
    <col min="3" max="3" width="11.85546875" style="4" bestFit="1" customWidth="1"/>
    <col min="4" max="4" width="12.140625" style="4" customWidth="1"/>
    <col min="5" max="5" width="11.5703125" style="4" customWidth="1"/>
    <col min="6" max="6" width="12.5703125" style="18" bestFit="1" customWidth="1"/>
    <col min="7" max="7" width="12.140625" style="4" customWidth="1"/>
    <col min="8" max="8" width="12" style="4" customWidth="1"/>
    <col min="9" max="256" width="9.140625" style="4"/>
    <col min="257" max="257" width="5.85546875" style="4" customWidth="1"/>
    <col min="258" max="258" width="33.7109375" style="4" customWidth="1"/>
    <col min="259" max="259" width="11.85546875" style="4" bestFit="1" customWidth="1"/>
    <col min="260" max="260" width="12.140625" style="4" customWidth="1"/>
    <col min="261" max="261" width="11.5703125" style="4" customWidth="1"/>
    <col min="262" max="262" width="12.5703125" style="4" bestFit="1" customWidth="1"/>
    <col min="263" max="263" width="12.140625" style="4" customWidth="1"/>
    <col min="264" max="264" width="12" style="4" customWidth="1"/>
    <col min="265" max="512" width="9.140625" style="4"/>
    <col min="513" max="513" width="5.85546875" style="4" customWidth="1"/>
    <col min="514" max="514" width="33.7109375" style="4" customWidth="1"/>
    <col min="515" max="515" width="11.85546875" style="4" bestFit="1" customWidth="1"/>
    <col min="516" max="516" width="12.140625" style="4" customWidth="1"/>
    <col min="517" max="517" width="11.5703125" style="4" customWidth="1"/>
    <col min="518" max="518" width="12.5703125" style="4" bestFit="1" customWidth="1"/>
    <col min="519" max="519" width="12.140625" style="4" customWidth="1"/>
    <col min="520" max="520" width="12" style="4" customWidth="1"/>
    <col min="521" max="768" width="9.140625" style="4"/>
    <col min="769" max="769" width="5.85546875" style="4" customWidth="1"/>
    <col min="770" max="770" width="33.7109375" style="4" customWidth="1"/>
    <col min="771" max="771" width="11.85546875" style="4" bestFit="1" customWidth="1"/>
    <col min="772" max="772" width="12.140625" style="4" customWidth="1"/>
    <col min="773" max="773" width="11.5703125" style="4" customWidth="1"/>
    <col min="774" max="774" width="12.5703125" style="4" bestFit="1" customWidth="1"/>
    <col min="775" max="775" width="12.140625" style="4" customWidth="1"/>
    <col min="776" max="776" width="12" style="4" customWidth="1"/>
    <col min="777" max="1024" width="9.140625" style="4"/>
    <col min="1025" max="1025" width="5.85546875" style="4" customWidth="1"/>
    <col min="1026" max="1026" width="33.7109375" style="4" customWidth="1"/>
    <col min="1027" max="1027" width="11.85546875" style="4" bestFit="1" customWidth="1"/>
    <col min="1028" max="1028" width="12.140625" style="4" customWidth="1"/>
    <col min="1029" max="1029" width="11.5703125" style="4" customWidth="1"/>
    <col min="1030" max="1030" width="12.5703125" style="4" bestFit="1" customWidth="1"/>
    <col min="1031" max="1031" width="12.140625" style="4" customWidth="1"/>
    <col min="1032" max="1032" width="12" style="4" customWidth="1"/>
    <col min="1033" max="1280" width="9.140625" style="4"/>
    <col min="1281" max="1281" width="5.85546875" style="4" customWidth="1"/>
    <col min="1282" max="1282" width="33.7109375" style="4" customWidth="1"/>
    <col min="1283" max="1283" width="11.85546875" style="4" bestFit="1" customWidth="1"/>
    <col min="1284" max="1284" width="12.140625" style="4" customWidth="1"/>
    <col min="1285" max="1285" width="11.5703125" style="4" customWidth="1"/>
    <col min="1286" max="1286" width="12.5703125" style="4" bestFit="1" customWidth="1"/>
    <col min="1287" max="1287" width="12.140625" style="4" customWidth="1"/>
    <col min="1288" max="1288" width="12" style="4" customWidth="1"/>
    <col min="1289" max="1536" width="9.140625" style="4"/>
    <col min="1537" max="1537" width="5.85546875" style="4" customWidth="1"/>
    <col min="1538" max="1538" width="33.7109375" style="4" customWidth="1"/>
    <col min="1539" max="1539" width="11.85546875" style="4" bestFit="1" customWidth="1"/>
    <col min="1540" max="1540" width="12.140625" style="4" customWidth="1"/>
    <col min="1541" max="1541" width="11.5703125" style="4" customWidth="1"/>
    <col min="1542" max="1542" width="12.5703125" style="4" bestFit="1" customWidth="1"/>
    <col min="1543" max="1543" width="12.140625" style="4" customWidth="1"/>
    <col min="1544" max="1544" width="12" style="4" customWidth="1"/>
    <col min="1545" max="1792" width="9.140625" style="4"/>
    <col min="1793" max="1793" width="5.85546875" style="4" customWidth="1"/>
    <col min="1794" max="1794" width="33.7109375" style="4" customWidth="1"/>
    <col min="1795" max="1795" width="11.85546875" style="4" bestFit="1" customWidth="1"/>
    <col min="1796" max="1796" width="12.140625" style="4" customWidth="1"/>
    <col min="1797" max="1797" width="11.5703125" style="4" customWidth="1"/>
    <col min="1798" max="1798" width="12.5703125" style="4" bestFit="1" customWidth="1"/>
    <col min="1799" max="1799" width="12.140625" style="4" customWidth="1"/>
    <col min="1800" max="1800" width="12" style="4" customWidth="1"/>
    <col min="1801" max="2048" width="9.140625" style="4"/>
    <col min="2049" max="2049" width="5.85546875" style="4" customWidth="1"/>
    <col min="2050" max="2050" width="33.7109375" style="4" customWidth="1"/>
    <col min="2051" max="2051" width="11.85546875" style="4" bestFit="1" customWidth="1"/>
    <col min="2052" max="2052" width="12.140625" style="4" customWidth="1"/>
    <col min="2053" max="2053" width="11.5703125" style="4" customWidth="1"/>
    <col min="2054" max="2054" width="12.5703125" style="4" bestFit="1" customWidth="1"/>
    <col min="2055" max="2055" width="12.140625" style="4" customWidth="1"/>
    <col min="2056" max="2056" width="12" style="4" customWidth="1"/>
    <col min="2057" max="2304" width="9.140625" style="4"/>
    <col min="2305" max="2305" width="5.85546875" style="4" customWidth="1"/>
    <col min="2306" max="2306" width="33.7109375" style="4" customWidth="1"/>
    <col min="2307" max="2307" width="11.85546875" style="4" bestFit="1" customWidth="1"/>
    <col min="2308" max="2308" width="12.140625" style="4" customWidth="1"/>
    <col min="2309" max="2309" width="11.5703125" style="4" customWidth="1"/>
    <col min="2310" max="2310" width="12.5703125" style="4" bestFit="1" customWidth="1"/>
    <col min="2311" max="2311" width="12.140625" style="4" customWidth="1"/>
    <col min="2312" max="2312" width="12" style="4" customWidth="1"/>
    <col min="2313" max="2560" width="9.140625" style="4"/>
    <col min="2561" max="2561" width="5.85546875" style="4" customWidth="1"/>
    <col min="2562" max="2562" width="33.7109375" style="4" customWidth="1"/>
    <col min="2563" max="2563" width="11.85546875" style="4" bestFit="1" customWidth="1"/>
    <col min="2564" max="2564" width="12.140625" style="4" customWidth="1"/>
    <col min="2565" max="2565" width="11.5703125" style="4" customWidth="1"/>
    <col min="2566" max="2566" width="12.5703125" style="4" bestFit="1" customWidth="1"/>
    <col min="2567" max="2567" width="12.140625" style="4" customWidth="1"/>
    <col min="2568" max="2568" width="12" style="4" customWidth="1"/>
    <col min="2569" max="2816" width="9.140625" style="4"/>
    <col min="2817" max="2817" width="5.85546875" style="4" customWidth="1"/>
    <col min="2818" max="2818" width="33.7109375" style="4" customWidth="1"/>
    <col min="2819" max="2819" width="11.85546875" style="4" bestFit="1" customWidth="1"/>
    <col min="2820" max="2820" width="12.140625" style="4" customWidth="1"/>
    <col min="2821" max="2821" width="11.5703125" style="4" customWidth="1"/>
    <col min="2822" max="2822" width="12.5703125" style="4" bestFit="1" customWidth="1"/>
    <col min="2823" max="2823" width="12.140625" style="4" customWidth="1"/>
    <col min="2824" max="2824" width="12" style="4" customWidth="1"/>
    <col min="2825" max="3072" width="9.140625" style="4"/>
    <col min="3073" max="3073" width="5.85546875" style="4" customWidth="1"/>
    <col min="3074" max="3074" width="33.7109375" style="4" customWidth="1"/>
    <col min="3075" max="3075" width="11.85546875" style="4" bestFit="1" customWidth="1"/>
    <col min="3076" max="3076" width="12.140625" style="4" customWidth="1"/>
    <col min="3077" max="3077" width="11.5703125" style="4" customWidth="1"/>
    <col min="3078" max="3078" width="12.5703125" style="4" bestFit="1" customWidth="1"/>
    <col min="3079" max="3079" width="12.140625" style="4" customWidth="1"/>
    <col min="3080" max="3080" width="12" style="4" customWidth="1"/>
    <col min="3081" max="3328" width="9.140625" style="4"/>
    <col min="3329" max="3329" width="5.85546875" style="4" customWidth="1"/>
    <col min="3330" max="3330" width="33.7109375" style="4" customWidth="1"/>
    <col min="3331" max="3331" width="11.85546875" style="4" bestFit="1" customWidth="1"/>
    <col min="3332" max="3332" width="12.140625" style="4" customWidth="1"/>
    <col min="3333" max="3333" width="11.5703125" style="4" customWidth="1"/>
    <col min="3334" max="3334" width="12.5703125" style="4" bestFit="1" customWidth="1"/>
    <col min="3335" max="3335" width="12.140625" style="4" customWidth="1"/>
    <col min="3336" max="3336" width="12" style="4" customWidth="1"/>
    <col min="3337" max="3584" width="9.140625" style="4"/>
    <col min="3585" max="3585" width="5.85546875" style="4" customWidth="1"/>
    <col min="3586" max="3586" width="33.7109375" style="4" customWidth="1"/>
    <col min="3587" max="3587" width="11.85546875" style="4" bestFit="1" customWidth="1"/>
    <col min="3588" max="3588" width="12.140625" style="4" customWidth="1"/>
    <col min="3589" max="3589" width="11.5703125" style="4" customWidth="1"/>
    <col min="3590" max="3590" width="12.5703125" style="4" bestFit="1" customWidth="1"/>
    <col min="3591" max="3591" width="12.140625" style="4" customWidth="1"/>
    <col min="3592" max="3592" width="12" style="4" customWidth="1"/>
    <col min="3593" max="3840" width="9.140625" style="4"/>
    <col min="3841" max="3841" width="5.85546875" style="4" customWidth="1"/>
    <col min="3842" max="3842" width="33.7109375" style="4" customWidth="1"/>
    <col min="3843" max="3843" width="11.85546875" style="4" bestFit="1" customWidth="1"/>
    <col min="3844" max="3844" width="12.140625" style="4" customWidth="1"/>
    <col min="3845" max="3845" width="11.5703125" style="4" customWidth="1"/>
    <col min="3846" max="3846" width="12.5703125" style="4" bestFit="1" customWidth="1"/>
    <col min="3847" max="3847" width="12.140625" style="4" customWidth="1"/>
    <col min="3848" max="3848" width="12" style="4" customWidth="1"/>
    <col min="3849" max="4096" width="9.140625" style="4"/>
    <col min="4097" max="4097" width="5.85546875" style="4" customWidth="1"/>
    <col min="4098" max="4098" width="33.7109375" style="4" customWidth="1"/>
    <col min="4099" max="4099" width="11.85546875" style="4" bestFit="1" customWidth="1"/>
    <col min="4100" max="4100" width="12.140625" style="4" customWidth="1"/>
    <col min="4101" max="4101" width="11.5703125" style="4" customWidth="1"/>
    <col min="4102" max="4102" width="12.5703125" style="4" bestFit="1" customWidth="1"/>
    <col min="4103" max="4103" width="12.140625" style="4" customWidth="1"/>
    <col min="4104" max="4104" width="12" style="4" customWidth="1"/>
    <col min="4105" max="4352" width="9.140625" style="4"/>
    <col min="4353" max="4353" width="5.85546875" style="4" customWidth="1"/>
    <col min="4354" max="4354" width="33.7109375" style="4" customWidth="1"/>
    <col min="4355" max="4355" width="11.85546875" style="4" bestFit="1" customWidth="1"/>
    <col min="4356" max="4356" width="12.140625" style="4" customWidth="1"/>
    <col min="4357" max="4357" width="11.5703125" style="4" customWidth="1"/>
    <col min="4358" max="4358" width="12.5703125" style="4" bestFit="1" customWidth="1"/>
    <col min="4359" max="4359" width="12.140625" style="4" customWidth="1"/>
    <col min="4360" max="4360" width="12" style="4" customWidth="1"/>
    <col min="4361" max="4608" width="9.140625" style="4"/>
    <col min="4609" max="4609" width="5.85546875" style="4" customWidth="1"/>
    <col min="4610" max="4610" width="33.7109375" style="4" customWidth="1"/>
    <col min="4611" max="4611" width="11.85546875" style="4" bestFit="1" customWidth="1"/>
    <col min="4612" max="4612" width="12.140625" style="4" customWidth="1"/>
    <col min="4613" max="4613" width="11.5703125" style="4" customWidth="1"/>
    <col min="4614" max="4614" width="12.5703125" style="4" bestFit="1" customWidth="1"/>
    <col min="4615" max="4615" width="12.140625" style="4" customWidth="1"/>
    <col min="4616" max="4616" width="12" style="4" customWidth="1"/>
    <col min="4617" max="4864" width="9.140625" style="4"/>
    <col min="4865" max="4865" width="5.85546875" style="4" customWidth="1"/>
    <col min="4866" max="4866" width="33.7109375" style="4" customWidth="1"/>
    <col min="4867" max="4867" width="11.85546875" style="4" bestFit="1" customWidth="1"/>
    <col min="4868" max="4868" width="12.140625" style="4" customWidth="1"/>
    <col min="4869" max="4869" width="11.5703125" style="4" customWidth="1"/>
    <col min="4870" max="4870" width="12.5703125" style="4" bestFit="1" customWidth="1"/>
    <col min="4871" max="4871" width="12.140625" style="4" customWidth="1"/>
    <col min="4872" max="4872" width="12" style="4" customWidth="1"/>
    <col min="4873" max="5120" width="9.140625" style="4"/>
    <col min="5121" max="5121" width="5.85546875" style="4" customWidth="1"/>
    <col min="5122" max="5122" width="33.7109375" style="4" customWidth="1"/>
    <col min="5123" max="5123" width="11.85546875" style="4" bestFit="1" customWidth="1"/>
    <col min="5124" max="5124" width="12.140625" style="4" customWidth="1"/>
    <col min="5125" max="5125" width="11.5703125" style="4" customWidth="1"/>
    <col min="5126" max="5126" width="12.5703125" style="4" bestFit="1" customWidth="1"/>
    <col min="5127" max="5127" width="12.140625" style="4" customWidth="1"/>
    <col min="5128" max="5128" width="12" style="4" customWidth="1"/>
    <col min="5129" max="5376" width="9.140625" style="4"/>
    <col min="5377" max="5377" width="5.85546875" style="4" customWidth="1"/>
    <col min="5378" max="5378" width="33.7109375" style="4" customWidth="1"/>
    <col min="5379" max="5379" width="11.85546875" style="4" bestFit="1" customWidth="1"/>
    <col min="5380" max="5380" width="12.140625" style="4" customWidth="1"/>
    <col min="5381" max="5381" width="11.5703125" style="4" customWidth="1"/>
    <col min="5382" max="5382" width="12.5703125" style="4" bestFit="1" customWidth="1"/>
    <col min="5383" max="5383" width="12.140625" style="4" customWidth="1"/>
    <col min="5384" max="5384" width="12" style="4" customWidth="1"/>
    <col min="5385" max="5632" width="9.140625" style="4"/>
    <col min="5633" max="5633" width="5.85546875" style="4" customWidth="1"/>
    <col min="5634" max="5634" width="33.7109375" style="4" customWidth="1"/>
    <col min="5635" max="5635" width="11.85546875" style="4" bestFit="1" customWidth="1"/>
    <col min="5636" max="5636" width="12.140625" style="4" customWidth="1"/>
    <col min="5637" max="5637" width="11.5703125" style="4" customWidth="1"/>
    <col min="5638" max="5638" width="12.5703125" style="4" bestFit="1" customWidth="1"/>
    <col min="5639" max="5639" width="12.140625" style="4" customWidth="1"/>
    <col min="5640" max="5640" width="12" style="4" customWidth="1"/>
    <col min="5641" max="5888" width="9.140625" style="4"/>
    <col min="5889" max="5889" width="5.85546875" style="4" customWidth="1"/>
    <col min="5890" max="5890" width="33.7109375" style="4" customWidth="1"/>
    <col min="5891" max="5891" width="11.85546875" style="4" bestFit="1" customWidth="1"/>
    <col min="5892" max="5892" width="12.140625" style="4" customWidth="1"/>
    <col min="5893" max="5893" width="11.5703125" style="4" customWidth="1"/>
    <col min="5894" max="5894" width="12.5703125" style="4" bestFit="1" customWidth="1"/>
    <col min="5895" max="5895" width="12.140625" style="4" customWidth="1"/>
    <col min="5896" max="5896" width="12" style="4" customWidth="1"/>
    <col min="5897" max="6144" width="9.140625" style="4"/>
    <col min="6145" max="6145" width="5.85546875" style="4" customWidth="1"/>
    <col min="6146" max="6146" width="33.7109375" style="4" customWidth="1"/>
    <col min="6147" max="6147" width="11.85546875" style="4" bestFit="1" customWidth="1"/>
    <col min="6148" max="6148" width="12.140625" style="4" customWidth="1"/>
    <col min="6149" max="6149" width="11.5703125" style="4" customWidth="1"/>
    <col min="6150" max="6150" width="12.5703125" style="4" bestFit="1" customWidth="1"/>
    <col min="6151" max="6151" width="12.140625" style="4" customWidth="1"/>
    <col min="6152" max="6152" width="12" style="4" customWidth="1"/>
    <col min="6153" max="6400" width="9.140625" style="4"/>
    <col min="6401" max="6401" width="5.85546875" style="4" customWidth="1"/>
    <col min="6402" max="6402" width="33.7109375" style="4" customWidth="1"/>
    <col min="6403" max="6403" width="11.85546875" style="4" bestFit="1" customWidth="1"/>
    <col min="6404" max="6404" width="12.140625" style="4" customWidth="1"/>
    <col min="6405" max="6405" width="11.5703125" style="4" customWidth="1"/>
    <col min="6406" max="6406" width="12.5703125" style="4" bestFit="1" customWidth="1"/>
    <col min="6407" max="6407" width="12.140625" style="4" customWidth="1"/>
    <col min="6408" max="6408" width="12" style="4" customWidth="1"/>
    <col min="6409" max="6656" width="9.140625" style="4"/>
    <col min="6657" max="6657" width="5.85546875" style="4" customWidth="1"/>
    <col min="6658" max="6658" width="33.7109375" style="4" customWidth="1"/>
    <col min="6659" max="6659" width="11.85546875" style="4" bestFit="1" customWidth="1"/>
    <col min="6660" max="6660" width="12.140625" style="4" customWidth="1"/>
    <col min="6661" max="6661" width="11.5703125" style="4" customWidth="1"/>
    <col min="6662" max="6662" width="12.5703125" style="4" bestFit="1" customWidth="1"/>
    <col min="6663" max="6663" width="12.140625" style="4" customWidth="1"/>
    <col min="6664" max="6664" width="12" style="4" customWidth="1"/>
    <col min="6665" max="6912" width="9.140625" style="4"/>
    <col min="6913" max="6913" width="5.85546875" style="4" customWidth="1"/>
    <col min="6914" max="6914" width="33.7109375" style="4" customWidth="1"/>
    <col min="6915" max="6915" width="11.85546875" style="4" bestFit="1" customWidth="1"/>
    <col min="6916" max="6916" width="12.140625" style="4" customWidth="1"/>
    <col min="6917" max="6917" width="11.5703125" style="4" customWidth="1"/>
    <col min="6918" max="6918" width="12.5703125" style="4" bestFit="1" customWidth="1"/>
    <col min="6919" max="6919" width="12.140625" style="4" customWidth="1"/>
    <col min="6920" max="6920" width="12" style="4" customWidth="1"/>
    <col min="6921" max="7168" width="9.140625" style="4"/>
    <col min="7169" max="7169" width="5.85546875" style="4" customWidth="1"/>
    <col min="7170" max="7170" width="33.7109375" style="4" customWidth="1"/>
    <col min="7171" max="7171" width="11.85546875" style="4" bestFit="1" customWidth="1"/>
    <col min="7172" max="7172" width="12.140625" style="4" customWidth="1"/>
    <col min="7173" max="7173" width="11.5703125" style="4" customWidth="1"/>
    <col min="7174" max="7174" width="12.5703125" style="4" bestFit="1" customWidth="1"/>
    <col min="7175" max="7175" width="12.140625" style="4" customWidth="1"/>
    <col min="7176" max="7176" width="12" style="4" customWidth="1"/>
    <col min="7177" max="7424" width="9.140625" style="4"/>
    <col min="7425" max="7425" width="5.85546875" style="4" customWidth="1"/>
    <col min="7426" max="7426" width="33.7109375" style="4" customWidth="1"/>
    <col min="7427" max="7427" width="11.85546875" style="4" bestFit="1" customWidth="1"/>
    <col min="7428" max="7428" width="12.140625" style="4" customWidth="1"/>
    <col min="7429" max="7429" width="11.5703125" style="4" customWidth="1"/>
    <col min="7430" max="7430" width="12.5703125" style="4" bestFit="1" customWidth="1"/>
    <col min="7431" max="7431" width="12.140625" style="4" customWidth="1"/>
    <col min="7432" max="7432" width="12" style="4" customWidth="1"/>
    <col min="7433" max="7680" width="9.140625" style="4"/>
    <col min="7681" max="7681" width="5.85546875" style="4" customWidth="1"/>
    <col min="7682" max="7682" width="33.7109375" style="4" customWidth="1"/>
    <col min="7683" max="7683" width="11.85546875" style="4" bestFit="1" customWidth="1"/>
    <col min="7684" max="7684" width="12.140625" style="4" customWidth="1"/>
    <col min="7685" max="7685" width="11.5703125" style="4" customWidth="1"/>
    <col min="7686" max="7686" width="12.5703125" style="4" bestFit="1" customWidth="1"/>
    <col min="7687" max="7687" width="12.140625" style="4" customWidth="1"/>
    <col min="7688" max="7688" width="12" style="4" customWidth="1"/>
    <col min="7689" max="7936" width="9.140625" style="4"/>
    <col min="7937" max="7937" width="5.85546875" style="4" customWidth="1"/>
    <col min="7938" max="7938" width="33.7109375" style="4" customWidth="1"/>
    <col min="7939" max="7939" width="11.85546875" style="4" bestFit="1" customWidth="1"/>
    <col min="7940" max="7940" width="12.140625" style="4" customWidth="1"/>
    <col min="7941" max="7941" width="11.5703125" style="4" customWidth="1"/>
    <col min="7942" max="7942" width="12.5703125" style="4" bestFit="1" customWidth="1"/>
    <col min="7943" max="7943" width="12.140625" style="4" customWidth="1"/>
    <col min="7944" max="7944" width="12" style="4" customWidth="1"/>
    <col min="7945" max="8192" width="9.140625" style="4"/>
    <col min="8193" max="8193" width="5.85546875" style="4" customWidth="1"/>
    <col min="8194" max="8194" width="33.7109375" style="4" customWidth="1"/>
    <col min="8195" max="8195" width="11.85546875" style="4" bestFit="1" customWidth="1"/>
    <col min="8196" max="8196" width="12.140625" style="4" customWidth="1"/>
    <col min="8197" max="8197" width="11.5703125" style="4" customWidth="1"/>
    <col min="8198" max="8198" width="12.5703125" style="4" bestFit="1" customWidth="1"/>
    <col min="8199" max="8199" width="12.140625" style="4" customWidth="1"/>
    <col min="8200" max="8200" width="12" style="4" customWidth="1"/>
    <col min="8201" max="8448" width="9.140625" style="4"/>
    <col min="8449" max="8449" width="5.85546875" style="4" customWidth="1"/>
    <col min="8450" max="8450" width="33.7109375" style="4" customWidth="1"/>
    <col min="8451" max="8451" width="11.85546875" style="4" bestFit="1" customWidth="1"/>
    <col min="8452" max="8452" width="12.140625" style="4" customWidth="1"/>
    <col min="8453" max="8453" width="11.5703125" style="4" customWidth="1"/>
    <col min="8454" max="8454" width="12.5703125" style="4" bestFit="1" customWidth="1"/>
    <col min="8455" max="8455" width="12.140625" style="4" customWidth="1"/>
    <col min="8456" max="8456" width="12" style="4" customWidth="1"/>
    <col min="8457" max="8704" width="9.140625" style="4"/>
    <col min="8705" max="8705" width="5.85546875" style="4" customWidth="1"/>
    <col min="8706" max="8706" width="33.7109375" style="4" customWidth="1"/>
    <col min="8707" max="8707" width="11.85546875" style="4" bestFit="1" customWidth="1"/>
    <col min="8708" max="8708" width="12.140625" style="4" customWidth="1"/>
    <col min="8709" max="8709" width="11.5703125" style="4" customWidth="1"/>
    <col min="8710" max="8710" width="12.5703125" style="4" bestFit="1" customWidth="1"/>
    <col min="8711" max="8711" width="12.140625" style="4" customWidth="1"/>
    <col min="8712" max="8712" width="12" style="4" customWidth="1"/>
    <col min="8713" max="8960" width="9.140625" style="4"/>
    <col min="8961" max="8961" width="5.85546875" style="4" customWidth="1"/>
    <col min="8962" max="8962" width="33.7109375" style="4" customWidth="1"/>
    <col min="8963" max="8963" width="11.85546875" style="4" bestFit="1" customWidth="1"/>
    <col min="8964" max="8964" width="12.140625" style="4" customWidth="1"/>
    <col min="8965" max="8965" width="11.5703125" style="4" customWidth="1"/>
    <col min="8966" max="8966" width="12.5703125" style="4" bestFit="1" customWidth="1"/>
    <col min="8967" max="8967" width="12.140625" style="4" customWidth="1"/>
    <col min="8968" max="8968" width="12" style="4" customWidth="1"/>
    <col min="8969" max="9216" width="9.140625" style="4"/>
    <col min="9217" max="9217" width="5.85546875" style="4" customWidth="1"/>
    <col min="9218" max="9218" width="33.7109375" style="4" customWidth="1"/>
    <col min="9219" max="9219" width="11.85546875" style="4" bestFit="1" customWidth="1"/>
    <col min="9220" max="9220" width="12.140625" style="4" customWidth="1"/>
    <col min="9221" max="9221" width="11.5703125" style="4" customWidth="1"/>
    <col min="9222" max="9222" width="12.5703125" style="4" bestFit="1" customWidth="1"/>
    <col min="9223" max="9223" width="12.140625" style="4" customWidth="1"/>
    <col min="9224" max="9224" width="12" style="4" customWidth="1"/>
    <col min="9225" max="9472" width="9.140625" style="4"/>
    <col min="9473" max="9473" width="5.85546875" style="4" customWidth="1"/>
    <col min="9474" max="9474" width="33.7109375" style="4" customWidth="1"/>
    <col min="9475" max="9475" width="11.85546875" style="4" bestFit="1" customWidth="1"/>
    <col min="9476" max="9476" width="12.140625" style="4" customWidth="1"/>
    <col min="9477" max="9477" width="11.5703125" style="4" customWidth="1"/>
    <col min="9478" max="9478" width="12.5703125" style="4" bestFit="1" customWidth="1"/>
    <col min="9479" max="9479" width="12.140625" style="4" customWidth="1"/>
    <col min="9480" max="9480" width="12" style="4" customWidth="1"/>
    <col min="9481" max="9728" width="9.140625" style="4"/>
    <col min="9729" max="9729" width="5.85546875" style="4" customWidth="1"/>
    <col min="9730" max="9730" width="33.7109375" style="4" customWidth="1"/>
    <col min="9731" max="9731" width="11.85546875" style="4" bestFit="1" customWidth="1"/>
    <col min="9732" max="9732" width="12.140625" style="4" customWidth="1"/>
    <col min="9733" max="9733" width="11.5703125" style="4" customWidth="1"/>
    <col min="9734" max="9734" width="12.5703125" style="4" bestFit="1" customWidth="1"/>
    <col min="9735" max="9735" width="12.140625" style="4" customWidth="1"/>
    <col min="9736" max="9736" width="12" style="4" customWidth="1"/>
    <col min="9737" max="9984" width="9.140625" style="4"/>
    <col min="9985" max="9985" width="5.85546875" style="4" customWidth="1"/>
    <col min="9986" max="9986" width="33.7109375" style="4" customWidth="1"/>
    <col min="9987" max="9987" width="11.85546875" style="4" bestFit="1" customWidth="1"/>
    <col min="9988" max="9988" width="12.140625" style="4" customWidth="1"/>
    <col min="9989" max="9989" width="11.5703125" style="4" customWidth="1"/>
    <col min="9990" max="9990" width="12.5703125" style="4" bestFit="1" customWidth="1"/>
    <col min="9991" max="9991" width="12.140625" style="4" customWidth="1"/>
    <col min="9992" max="9992" width="12" style="4" customWidth="1"/>
    <col min="9993" max="10240" width="9.140625" style="4"/>
    <col min="10241" max="10241" width="5.85546875" style="4" customWidth="1"/>
    <col min="10242" max="10242" width="33.7109375" style="4" customWidth="1"/>
    <col min="10243" max="10243" width="11.85546875" style="4" bestFit="1" customWidth="1"/>
    <col min="10244" max="10244" width="12.140625" style="4" customWidth="1"/>
    <col min="10245" max="10245" width="11.5703125" style="4" customWidth="1"/>
    <col min="10246" max="10246" width="12.5703125" style="4" bestFit="1" customWidth="1"/>
    <col min="10247" max="10247" width="12.140625" style="4" customWidth="1"/>
    <col min="10248" max="10248" width="12" style="4" customWidth="1"/>
    <col min="10249" max="10496" width="9.140625" style="4"/>
    <col min="10497" max="10497" width="5.85546875" style="4" customWidth="1"/>
    <col min="10498" max="10498" width="33.7109375" style="4" customWidth="1"/>
    <col min="10499" max="10499" width="11.85546875" style="4" bestFit="1" customWidth="1"/>
    <col min="10500" max="10500" width="12.140625" style="4" customWidth="1"/>
    <col min="10501" max="10501" width="11.5703125" style="4" customWidth="1"/>
    <col min="10502" max="10502" width="12.5703125" style="4" bestFit="1" customWidth="1"/>
    <col min="10503" max="10503" width="12.140625" style="4" customWidth="1"/>
    <col min="10504" max="10504" width="12" style="4" customWidth="1"/>
    <col min="10505" max="10752" width="9.140625" style="4"/>
    <col min="10753" max="10753" width="5.85546875" style="4" customWidth="1"/>
    <col min="10754" max="10754" width="33.7109375" style="4" customWidth="1"/>
    <col min="10755" max="10755" width="11.85546875" style="4" bestFit="1" customWidth="1"/>
    <col min="10756" max="10756" width="12.140625" style="4" customWidth="1"/>
    <col min="10757" max="10757" width="11.5703125" style="4" customWidth="1"/>
    <col min="10758" max="10758" width="12.5703125" style="4" bestFit="1" customWidth="1"/>
    <col min="10759" max="10759" width="12.140625" style="4" customWidth="1"/>
    <col min="10760" max="10760" width="12" style="4" customWidth="1"/>
    <col min="10761" max="11008" width="9.140625" style="4"/>
    <col min="11009" max="11009" width="5.85546875" style="4" customWidth="1"/>
    <col min="11010" max="11010" width="33.7109375" style="4" customWidth="1"/>
    <col min="11011" max="11011" width="11.85546875" style="4" bestFit="1" customWidth="1"/>
    <col min="11012" max="11012" width="12.140625" style="4" customWidth="1"/>
    <col min="11013" max="11013" width="11.5703125" style="4" customWidth="1"/>
    <col min="11014" max="11014" width="12.5703125" style="4" bestFit="1" customWidth="1"/>
    <col min="11015" max="11015" width="12.140625" style="4" customWidth="1"/>
    <col min="11016" max="11016" width="12" style="4" customWidth="1"/>
    <col min="11017" max="11264" width="9.140625" style="4"/>
    <col min="11265" max="11265" width="5.85546875" style="4" customWidth="1"/>
    <col min="11266" max="11266" width="33.7109375" style="4" customWidth="1"/>
    <col min="11267" max="11267" width="11.85546875" style="4" bestFit="1" customWidth="1"/>
    <col min="11268" max="11268" width="12.140625" style="4" customWidth="1"/>
    <col min="11269" max="11269" width="11.5703125" style="4" customWidth="1"/>
    <col min="11270" max="11270" width="12.5703125" style="4" bestFit="1" customWidth="1"/>
    <col min="11271" max="11271" width="12.140625" style="4" customWidth="1"/>
    <col min="11272" max="11272" width="12" style="4" customWidth="1"/>
    <col min="11273" max="11520" width="9.140625" style="4"/>
    <col min="11521" max="11521" width="5.85546875" style="4" customWidth="1"/>
    <col min="11522" max="11522" width="33.7109375" style="4" customWidth="1"/>
    <col min="11523" max="11523" width="11.85546875" style="4" bestFit="1" customWidth="1"/>
    <col min="11524" max="11524" width="12.140625" style="4" customWidth="1"/>
    <col min="11525" max="11525" width="11.5703125" style="4" customWidth="1"/>
    <col min="11526" max="11526" width="12.5703125" style="4" bestFit="1" customWidth="1"/>
    <col min="11527" max="11527" width="12.140625" style="4" customWidth="1"/>
    <col min="11528" max="11528" width="12" style="4" customWidth="1"/>
    <col min="11529" max="11776" width="9.140625" style="4"/>
    <col min="11777" max="11777" width="5.85546875" style="4" customWidth="1"/>
    <col min="11778" max="11778" width="33.7109375" style="4" customWidth="1"/>
    <col min="11779" max="11779" width="11.85546875" style="4" bestFit="1" customWidth="1"/>
    <col min="11780" max="11780" width="12.140625" style="4" customWidth="1"/>
    <col min="11781" max="11781" width="11.5703125" style="4" customWidth="1"/>
    <col min="11782" max="11782" width="12.5703125" style="4" bestFit="1" customWidth="1"/>
    <col min="11783" max="11783" width="12.140625" style="4" customWidth="1"/>
    <col min="11784" max="11784" width="12" style="4" customWidth="1"/>
    <col min="11785" max="12032" width="9.140625" style="4"/>
    <col min="12033" max="12033" width="5.85546875" style="4" customWidth="1"/>
    <col min="12034" max="12034" width="33.7109375" style="4" customWidth="1"/>
    <col min="12035" max="12035" width="11.85546875" style="4" bestFit="1" customWidth="1"/>
    <col min="12036" max="12036" width="12.140625" style="4" customWidth="1"/>
    <col min="12037" max="12037" width="11.5703125" style="4" customWidth="1"/>
    <col min="12038" max="12038" width="12.5703125" style="4" bestFit="1" customWidth="1"/>
    <col min="12039" max="12039" width="12.140625" style="4" customWidth="1"/>
    <col min="12040" max="12040" width="12" style="4" customWidth="1"/>
    <col min="12041" max="12288" width="9.140625" style="4"/>
    <col min="12289" max="12289" width="5.85546875" style="4" customWidth="1"/>
    <col min="12290" max="12290" width="33.7109375" style="4" customWidth="1"/>
    <col min="12291" max="12291" width="11.85546875" style="4" bestFit="1" customWidth="1"/>
    <col min="12292" max="12292" width="12.140625" style="4" customWidth="1"/>
    <col min="12293" max="12293" width="11.5703125" style="4" customWidth="1"/>
    <col min="12294" max="12294" width="12.5703125" style="4" bestFit="1" customWidth="1"/>
    <col min="12295" max="12295" width="12.140625" style="4" customWidth="1"/>
    <col min="12296" max="12296" width="12" style="4" customWidth="1"/>
    <col min="12297" max="12544" width="9.140625" style="4"/>
    <col min="12545" max="12545" width="5.85546875" style="4" customWidth="1"/>
    <col min="12546" max="12546" width="33.7109375" style="4" customWidth="1"/>
    <col min="12547" max="12547" width="11.85546875" style="4" bestFit="1" customWidth="1"/>
    <col min="12548" max="12548" width="12.140625" style="4" customWidth="1"/>
    <col min="12549" max="12549" width="11.5703125" style="4" customWidth="1"/>
    <col min="12550" max="12550" width="12.5703125" style="4" bestFit="1" customWidth="1"/>
    <col min="12551" max="12551" width="12.140625" style="4" customWidth="1"/>
    <col min="12552" max="12552" width="12" style="4" customWidth="1"/>
    <col min="12553" max="12800" width="9.140625" style="4"/>
    <col min="12801" max="12801" width="5.85546875" style="4" customWidth="1"/>
    <col min="12802" max="12802" width="33.7109375" style="4" customWidth="1"/>
    <col min="12803" max="12803" width="11.85546875" style="4" bestFit="1" customWidth="1"/>
    <col min="12804" max="12804" width="12.140625" style="4" customWidth="1"/>
    <col min="12805" max="12805" width="11.5703125" style="4" customWidth="1"/>
    <col min="12806" max="12806" width="12.5703125" style="4" bestFit="1" customWidth="1"/>
    <col min="12807" max="12807" width="12.140625" style="4" customWidth="1"/>
    <col min="12808" max="12808" width="12" style="4" customWidth="1"/>
    <col min="12809" max="13056" width="9.140625" style="4"/>
    <col min="13057" max="13057" width="5.85546875" style="4" customWidth="1"/>
    <col min="13058" max="13058" width="33.7109375" style="4" customWidth="1"/>
    <col min="13059" max="13059" width="11.85546875" style="4" bestFit="1" customWidth="1"/>
    <col min="13060" max="13060" width="12.140625" style="4" customWidth="1"/>
    <col min="13061" max="13061" width="11.5703125" style="4" customWidth="1"/>
    <col min="13062" max="13062" width="12.5703125" style="4" bestFit="1" customWidth="1"/>
    <col min="13063" max="13063" width="12.140625" style="4" customWidth="1"/>
    <col min="13064" max="13064" width="12" style="4" customWidth="1"/>
    <col min="13065" max="13312" width="9.140625" style="4"/>
    <col min="13313" max="13313" width="5.85546875" style="4" customWidth="1"/>
    <col min="13314" max="13314" width="33.7109375" style="4" customWidth="1"/>
    <col min="13315" max="13315" width="11.85546875" style="4" bestFit="1" customWidth="1"/>
    <col min="13316" max="13316" width="12.140625" style="4" customWidth="1"/>
    <col min="13317" max="13317" width="11.5703125" style="4" customWidth="1"/>
    <col min="13318" max="13318" width="12.5703125" style="4" bestFit="1" customWidth="1"/>
    <col min="13319" max="13319" width="12.140625" style="4" customWidth="1"/>
    <col min="13320" max="13320" width="12" style="4" customWidth="1"/>
    <col min="13321" max="13568" width="9.140625" style="4"/>
    <col min="13569" max="13569" width="5.85546875" style="4" customWidth="1"/>
    <col min="13570" max="13570" width="33.7109375" style="4" customWidth="1"/>
    <col min="13571" max="13571" width="11.85546875" style="4" bestFit="1" customWidth="1"/>
    <col min="13572" max="13572" width="12.140625" style="4" customWidth="1"/>
    <col min="13573" max="13573" width="11.5703125" style="4" customWidth="1"/>
    <col min="13574" max="13574" width="12.5703125" style="4" bestFit="1" customWidth="1"/>
    <col min="13575" max="13575" width="12.140625" style="4" customWidth="1"/>
    <col min="13576" max="13576" width="12" style="4" customWidth="1"/>
    <col min="13577" max="13824" width="9.140625" style="4"/>
    <col min="13825" max="13825" width="5.85546875" style="4" customWidth="1"/>
    <col min="13826" max="13826" width="33.7109375" style="4" customWidth="1"/>
    <col min="13827" max="13827" width="11.85546875" style="4" bestFit="1" customWidth="1"/>
    <col min="13828" max="13828" width="12.140625" style="4" customWidth="1"/>
    <col min="13829" max="13829" width="11.5703125" style="4" customWidth="1"/>
    <col min="13830" max="13830" width="12.5703125" style="4" bestFit="1" customWidth="1"/>
    <col min="13831" max="13831" width="12.140625" style="4" customWidth="1"/>
    <col min="13832" max="13832" width="12" style="4" customWidth="1"/>
    <col min="13833" max="14080" width="9.140625" style="4"/>
    <col min="14081" max="14081" width="5.85546875" style="4" customWidth="1"/>
    <col min="14082" max="14082" width="33.7109375" style="4" customWidth="1"/>
    <col min="14083" max="14083" width="11.85546875" style="4" bestFit="1" customWidth="1"/>
    <col min="14084" max="14084" width="12.140625" style="4" customWidth="1"/>
    <col min="14085" max="14085" width="11.5703125" style="4" customWidth="1"/>
    <col min="14086" max="14086" width="12.5703125" style="4" bestFit="1" customWidth="1"/>
    <col min="14087" max="14087" width="12.140625" style="4" customWidth="1"/>
    <col min="14088" max="14088" width="12" style="4" customWidth="1"/>
    <col min="14089" max="14336" width="9.140625" style="4"/>
    <col min="14337" max="14337" width="5.85546875" style="4" customWidth="1"/>
    <col min="14338" max="14338" width="33.7109375" style="4" customWidth="1"/>
    <col min="14339" max="14339" width="11.85546875" style="4" bestFit="1" customWidth="1"/>
    <col min="14340" max="14340" width="12.140625" style="4" customWidth="1"/>
    <col min="14341" max="14341" width="11.5703125" style="4" customWidth="1"/>
    <col min="14342" max="14342" width="12.5703125" style="4" bestFit="1" customWidth="1"/>
    <col min="14343" max="14343" width="12.140625" style="4" customWidth="1"/>
    <col min="14344" max="14344" width="12" style="4" customWidth="1"/>
    <col min="14345" max="14592" width="9.140625" style="4"/>
    <col min="14593" max="14593" width="5.85546875" style="4" customWidth="1"/>
    <col min="14594" max="14594" width="33.7109375" style="4" customWidth="1"/>
    <col min="14595" max="14595" width="11.85546875" style="4" bestFit="1" customWidth="1"/>
    <col min="14596" max="14596" width="12.140625" style="4" customWidth="1"/>
    <col min="14597" max="14597" width="11.5703125" style="4" customWidth="1"/>
    <col min="14598" max="14598" width="12.5703125" style="4" bestFit="1" customWidth="1"/>
    <col min="14599" max="14599" width="12.140625" style="4" customWidth="1"/>
    <col min="14600" max="14600" width="12" style="4" customWidth="1"/>
    <col min="14601" max="14848" width="9.140625" style="4"/>
    <col min="14849" max="14849" width="5.85546875" style="4" customWidth="1"/>
    <col min="14850" max="14850" width="33.7109375" style="4" customWidth="1"/>
    <col min="14851" max="14851" width="11.85546875" style="4" bestFit="1" customWidth="1"/>
    <col min="14852" max="14852" width="12.140625" style="4" customWidth="1"/>
    <col min="14853" max="14853" width="11.5703125" style="4" customWidth="1"/>
    <col min="14854" max="14854" width="12.5703125" style="4" bestFit="1" customWidth="1"/>
    <col min="14855" max="14855" width="12.140625" style="4" customWidth="1"/>
    <col min="14856" max="14856" width="12" style="4" customWidth="1"/>
    <col min="14857" max="15104" width="9.140625" style="4"/>
    <col min="15105" max="15105" width="5.85546875" style="4" customWidth="1"/>
    <col min="15106" max="15106" width="33.7109375" style="4" customWidth="1"/>
    <col min="15107" max="15107" width="11.85546875" style="4" bestFit="1" customWidth="1"/>
    <col min="15108" max="15108" width="12.140625" style="4" customWidth="1"/>
    <col min="15109" max="15109" width="11.5703125" style="4" customWidth="1"/>
    <col min="15110" max="15110" width="12.5703125" style="4" bestFit="1" customWidth="1"/>
    <col min="15111" max="15111" width="12.140625" style="4" customWidth="1"/>
    <col min="15112" max="15112" width="12" style="4" customWidth="1"/>
    <col min="15113" max="15360" width="9.140625" style="4"/>
    <col min="15361" max="15361" width="5.85546875" style="4" customWidth="1"/>
    <col min="15362" max="15362" width="33.7109375" style="4" customWidth="1"/>
    <col min="15363" max="15363" width="11.85546875" style="4" bestFit="1" customWidth="1"/>
    <col min="15364" max="15364" width="12.140625" style="4" customWidth="1"/>
    <col min="15365" max="15365" width="11.5703125" style="4" customWidth="1"/>
    <col min="15366" max="15366" width="12.5703125" style="4" bestFit="1" customWidth="1"/>
    <col min="15367" max="15367" width="12.140625" style="4" customWidth="1"/>
    <col min="15368" max="15368" width="12" style="4" customWidth="1"/>
    <col min="15369" max="15616" width="9.140625" style="4"/>
    <col min="15617" max="15617" width="5.85546875" style="4" customWidth="1"/>
    <col min="15618" max="15618" width="33.7109375" style="4" customWidth="1"/>
    <col min="15619" max="15619" width="11.85546875" style="4" bestFit="1" customWidth="1"/>
    <col min="15620" max="15620" width="12.140625" style="4" customWidth="1"/>
    <col min="15621" max="15621" width="11.5703125" style="4" customWidth="1"/>
    <col min="15622" max="15622" width="12.5703125" style="4" bestFit="1" customWidth="1"/>
    <col min="15623" max="15623" width="12.140625" style="4" customWidth="1"/>
    <col min="15624" max="15624" width="12" style="4" customWidth="1"/>
    <col min="15625" max="15872" width="9.140625" style="4"/>
    <col min="15873" max="15873" width="5.85546875" style="4" customWidth="1"/>
    <col min="15874" max="15874" width="33.7109375" style="4" customWidth="1"/>
    <col min="15875" max="15875" width="11.85546875" style="4" bestFit="1" customWidth="1"/>
    <col min="15876" max="15876" width="12.140625" style="4" customWidth="1"/>
    <col min="15877" max="15877" width="11.5703125" style="4" customWidth="1"/>
    <col min="15878" max="15878" width="12.5703125" style="4" bestFit="1" customWidth="1"/>
    <col min="15879" max="15879" width="12.140625" style="4" customWidth="1"/>
    <col min="15880" max="15880" width="12" style="4" customWidth="1"/>
    <col min="15881" max="16128" width="9.140625" style="4"/>
    <col min="16129" max="16129" width="5.85546875" style="4" customWidth="1"/>
    <col min="16130" max="16130" width="33.7109375" style="4" customWidth="1"/>
    <col min="16131" max="16131" width="11.85546875" style="4" bestFit="1" customWidth="1"/>
    <col min="16132" max="16132" width="12.140625" style="4" customWidth="1"/>
    <col min="16133" max="16133" width="11.5703125" style="4" customWidth="1"/>
    <col min="16134" max="16134" width="12.5703125" style="4" bestFit="1" customWidth="1"/>
    <col min="16135" max="16135" width="12.140625" style="4" customWidth="1"/>
    <col min="16136" max="16136" width="12" style="4" customWidth="1"/>
    <col min="16137" max="16384" width="9.140625" style="4"/>
  </cols>
  <sheetData>
    <row r="1" spans="1:8" ht="28.35" customHeight="1" x14ac:dyDescent="0.2">
      <c r="A1" s="316" t="s">
        <v>0</v>
      </c>
      <c r="B1" s="269"/>
      <c r="C1" s="269"/>
      <c r="D1" s="269"/>
      <c r="E1" s="269"/>
      <c r="F1" s="269"/>
      <c r="G1" s="269"/>
      <c r="H1" s="269"/>
    </row>
    <row r="2" spans="1:8" ht="17.100000000000001" customHeight="1" x14ac:dyDescent="0.2">
      <c r="A2" s="270" t="s">
        <v>437</v>
      </c>
      <c r="B2" s="269"/>
      <c r="C2" s="269"/>
      <c r="D2" s="269"/>
      <c r="E2" s="269"/>
      <c r="F2" s="269"/>
      <c r="G2" s="269"/>
      <c r="H2" s="269"/>
    </row>
    <row r="3" spans="1:8" ht="17.100000000000001" customHeight="1" x14ac:dyDescent="0.2">
      <c r="A3" s="317" t="s">
        <v>438</v>
      </c>
      <c r="B3" s="269"/>
      <c r="C3" s="269"/>
      <c r="D3" s="269"/>
      <c r="E3" s="269"/>
      <c r="F3" s="269"/>
      <c r="G3" s="269"/>
      <c r="H3" s="269"/>
    </row>
    <row r="4" spans="1:8" ht="11.45" customHeight="1" x14ac:dyDescent="0.2">
      <c r="A4" s="318" t="s">
        <v>439</v>
      </c>
      <c r="B4" s="319"/>
      <c r="C4" s="320">
        <v>2021</v>
      </c>
      <c r="D4" s="321"/>
      <c r="E4" s="319"/>
      <c r="F4" s="320">
        <v>2020</v>
      </c>
      <c r="G4" s="321"/>
      <c r="H4" s="319"/>
    </row>
    <row r="5" spans="1:8" ht="18" x14ac:dyDescent="0.2">
      <c r="A5" s="5" t="s">
        <v>7</v>
      </c>
      <c r="B5" s="5" t="s">
        <v>8</v>
      </c>
      <c r="C5" s="6" t="s">
        <v>440</v>
      </c>
      <c r="D5" s="6" t="s">
        <v>441</v>
      </c>
      <c r="E5" s="6" t="s">
        <v>442</v>
      </c>
      <c r="F5" s="6" t="s">
        <v>440</v>
      </c>
      <c r="G5" s="6" t="s">
        <v>441</v>
      </c>
      <c r="H5" s="6" t="s">
        <v>442</v>
      </c>
    </row>
    <row r="6" spans="1:8" x14ac:dyDescent="0.2">
      <c r="A6" s="324"/>
      <c r="B6" s="319"/>
      <c r="C6" s="7"/>
      <c r="D6" s="8"/>
      <c r="E6" s="7"/>
      <c r="F6" s="7"/>
      <c r="G6" s="8"/>
      <c r="H6" s="7"/>
    </row>
    <row r="7" spans="1:8" x14ac:dyDescent="0.2">
      <c r="A7" s="324"/>
      <c r="B7" s="319"/>
      <c r="C7" s="7"/>
      <c r="D7" s="7"/>
      <c r="E7" s="8"/>
      <c r="F7" s="8"/>
      <c r="G7" s="7"/>
      <c r="H7" s="8"/>
    </row>
    <row r="8" spans="1:8" x14ac:dyDescent="0.2">
      <c r="A8" s="9" t="s">
        <v>18</v>
      </c>
      <c r="B8" s="9" t="s">
        <v>19</v>
      </c>
      <c r="C8" s="9"/>
      <c r="D8" s="9"/>
      <c r="E8" s="9"/>
      <c r="F8" s="9"/>
      <c r="G8" s="9"/>
      <c r="H8" s="9"/>
    </row>
    <row r="9" spans="1:8" ht="16.5" x14ac:dyDescent="0.2">
      <c r="A9" s="10" t="s">
        <v>443</v>
      </c>
      <c r="B9" s="10" t="s">
        <v>444</v>
      </c>
      <c r="C9" s="10"/>
      <c r="D9" s="10"/>
      <c r="E9" s="10"/>
      <c r="F9" s="10"/>
      <c r="G9" s="10"/>
      <c r="H9" s="10"/>
    </row>
    <row r="10" spans="1:8" x14ac:dyDescent="0.2">
      <c r="A10" s="11" t="s">
        <v>445</v>
      </c>
      <c r="B10" s="11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16.5" x14ac:dyDescent="0.2">
      <c r="A11" s="11" t="s">
        <v>446</v>
      </c>
      <c r="B11" s="11" t="s">
        <v>26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ht="16.5" x14ac:dyDescent="0.2">
      <c r="A12" s="11" t="s">
        <v>447</v>
      </c>
      <c r="B12" s="11" t="s">
        <v>31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16.5" x14ac:dyDescent="0.2">
      <c r="A13" s="11" t="s">
        <v>448</v>
      </c>
      <c r="B13" s="11" t="s">
        <v>38</v>
      </c>
      <c r="C13" s="12">
        <v>0</v>
      </c>
      <c r="D13" s="12">
        <f>'Stampa rendiconto PI - ENTRATE'!K23</f>
        <v>6034</v>
      </c>
      <c r="E13" s="12">
        <f>'Stampa rendiconto PII - ENTRATE'!L23</f>
        <v>6034</v>
      </c>
      <c r="F13" s="12">
        <v>0</v>
      </c>
      <c r="G13" s="12">
        <v>0</v>
      </c>
      <c r="H13" s="12">
        <v>0</v>
      </c>
    </row>
    <row r="14" spans="1:8" x14ac:dyDescent="0.2">
      <c r="A14" s="322" t="s">
        <v>449</v>
      </c>
      <c r="B14" s="319"/>
      <c r="C14" s="13">
        <v>0</v>
      </c>
      <c r="D14" s="13">
        <f>D13</f>
        <v>6034</v>
      </c>
      <c r="E14" s="13">
        <f>E13</f>
        <v>6034</v>
      </c>
      <c r="F14" s="13">
        <v>0</v>
      </c>
      <c r="G14" s="13">
        <v>0</v>
      </c>
      <c r="H14" s="13">
        <v>0</v>
      </c>
    </row>
    <row r="15" spans="1:8" x14ac:dyDescent="0.2">
      <c r="A15" s="10" t="s">
        <v>450</v>
      </c>
      <c r="B15" s="10" t="s">
        <v>451</v>
      </c>
      <c r="C15" s="10"/>
      <c r="D15" s="10"/>
      <c r="E15" s="10"/>
      <c r="F15" s="10"/>
      <c r="G15" s="10"/>
      <c r="H15" s="10"/>
    </row>
    <row r="16" spans="1:8" x14ac:dyDescent="0.2">
      <c r="A16" s="11" t="s">
        <v>452</v>
      </c>
      <c r="B16" s="11" t="s">
        <v>47</v>
      </c>
      <c r="C16" s="14">
        <v>821081</v>
      </c>
      <c r="D16" s="12">
        <f>'Stampa rendiconto PI - ENTRATE'!K31</f>
        <v>16895788</v>
      </c>
      <c r="E16" s="12">
        <f>'Stampa rendiconto PII - ENTRATE'!L31</f>
        <v>17151142</v>
      </c>
      <c r="F16" s="12">
        <v>1076435</v>
      </c>
      <c r="G16" s="12">
        <v>13549956</v>
      </c>
      <c r="H16" s="12">
        <v>14372796</v>
      </c>
    </row>
    <row r="17" spans="1:8" ht="16.5" x14ac:dyDescent="0.2">
      <c r="A17" s="11" t="s">
        <v>453</v>
      </c>
      <c r="B17" s="11" t="s">
        <v>62</v>
      </c>
      <c r="C17" s="14">
        <v>0</v>
      </c>
      <c r="D17" s="12">
        <f>'[4]PI ENTRATE ARROT'!K34</f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x14ac:dyDescent="0.2">
      <c r="A18" s="11" t="s">
        <v>454</v>
      </c>
      <c r="B18" s="11" t="s">
        <v>67</v>
      </c>
      <c r="C18" s="14">
        <v>3789841</v>
      </c>
      <c r="D18" s="12">
        <f>'Stampa rendiconto PI - ENTRATE'!K40</f>
        <v>3913683</v>
      </c>
      <c r="E18" s="12">
        <f>'Stampa rendiconto PII - ENTRATE'!L40</f>
        <v>1924272</v>
      </c>
      <c r="F18" s="12">
        <v>1807354</v>
      </c>
      <c r="G18" s="12">
        <v>1630693</v>
      </c>
      <c r="H18" s="12">
        <v>1673272</v>
      </c>
    </row>
    <row r="19" spans="1:8" ht="16.5" x14ac:dyDescent="0.2">
      <c r="A19" s="11" t="s">
        <v>455</v>
      </c>
      <c r="B19" s="11" t="s">
        <v>78</v>
      </c>
      <c r="C19" s="14">
        <v>460298</v>
      </c>
      <c r="D19" s="12">
        <f>'Stampa rendiconto PI - ENTRATE'!K44</f>
        <v>6781840</v>
      </c>
      <c r="E19" s="12">
        <f>'Stampa rendiconto PII - ENTRATE'!L44</f>
        <v>6412665</v>
      </c>
      <c r="F19" s="12">
        <v>91123</v>
      </c>
      <c r="G19" s="12">
        <v>7499743</v>
      </c>
      <c r="H19" s="12">
        <v>7500528</v>
      </c>
    </row>
    <row r="20" spans="1:8" ht="16.5" x14ac:dyDescent="0.2">
      <c r="A20" s="11" t="s">
        <v>456</v>
      </c>
      <c r="B20" s="11" t="s">
        <v>85</v>
      </c>
      <c r="C20" s="14">
        <v>0</v>
      </c>
      <c r="D20" s="12">
        <f>'Stampa rendiconto PI - ENTRATE'!K48</f>
        <v>234919</v>
      </c>
      <c r="E20" s="12">
        <f>'Stampa rendiconto PII - ENTRATE'!L48</f>
        <v>234919</v>
      </c>
      <c r="F20" s="12">
        <v>0</v>
      </c>
      <c r="G20" s="12">
        <v>385341</v>
      </c>
      <c r="H20" s="12">
        <v>385341</v>
      </c>
    </row>
    <row r="21" spans="1:8" x14ac:dyDescent="0.2">
      <c r="A21" s="322" t="s">
        <v>457</v>
      </c>
      <c r="B21" s="319"/>
      <c r="C21" s="15">
        <f>SUM(C16:C20)</f>
        <v>5071220</v>
      </c>
      <c r="D21" s="15">
        <f>SUM(D16:D20)</f>
        <v>27826230</v>
      </c>
      <c r="E21" s="15">
        <f t="shared" ref="E21" si="0">SUM(E16:E20)</f>
        <v>25722998</v>
      </c>
      <c r="F21" s="13">
        <f t="shared" ref="F21:H21" si="1">SUM(F16:F20)</f>
        <v>2974912</v>
      </c>
      <c r="G21" s="13">
        <f t="shared" si="1"/>
        <v>23065733</v>
      </c>
      <c r="H21" s="13">
        <f t="shared" si="1"/>
        <v>23931937</v>
      </c>
    </row>
    <row r="22" spans="1:8" x14ac:dyDescent="0.2">
      <c r="A22" s="322" t="s">
        <v>458</v>
      </c>
      <c r="B22" s="319"/>
      <c r="C22" s="13">
        <f t="shared" ref="C22:H22" si="2">C21</f>
        <v>5071220</v>
      </c>
      <c r="D22" s="13">
        <f>D21+D14</f>
        <v>27832264</v>
      </c>
      <c r="E22" s="13">
        <f>E21+E14</f>
        <v>25729032</v>
      </c>
      <c r="F22" s="13">
        <f t="shared" si="2"/>
        <v>2974912</v>
      </c>
      <c r="G22" s="13">
        <f t="shared" si="2"/>
        <v>23065733</v>
      </c>
      <c r="H22" s="13">
        <f t="shared" si="2"/>
        <v>23931937</v>
      </c>
    </row>
    <row r="23" spans="1:8" x14ac:dyDescent="0.2">
      <c r="A23" s="9" t="s">
        <v>92</v>
      </c>
      <c r="B23" s="9" t="s">
        <v>93</v>
      </c>
      <c r="C23" s="9"/>
      <c r="D23" s="9"/>
      <c r="E23" s="9"/>
      <c r="F23" s="9"/>
      <c r="G23" s="9"/>
      <c r="H23" s="9"/>
    </row>
    <row r="24" spans="1:8" ht="16.5" x14ac:dyDescent="0.2">
      <c r="A24" s="10" t="s">
        <v>459</v>
      </c>
      <c r="B24" s="10" t="s">
        <v>460</v>
      </c>
      <c r="C24" s="10"/>
      <c r="D24" s="10"/>
      <c r="E24" s="10"/>
      <c r="F24" s="10"/>
      <c r="G24" s="10"/>
      <c r="H24" s="10"/>
    </row>
    <row r="25" spans="1:8" x14ac:dyDescent="0.2">
      <c r="A25" s="11" t="s">
        <v>461</v>
      </c>
      <c r="B25" s="11" t="s">
        <v>95</v>
      </c>
      <c r="C25" s="16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ht="16.5" x14ac:dyDescent="0.2">
      <c r="A26" s="11" t="s">
        <v>462</v>
      </c>
      <c r="B26" s="11" t="s">
        <v>102</v>
      </c>
      <c r="C26" s="16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x14ac:dyDescent="0.2">
      <c r="A27" s="11" t="s">
        <v>463</v>
      </c>
      <c r="B27" s="11" t="s">
        <v>109</v>
      </c>
      <c r="C27" s="1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 x14ac:dyDescent="0.2">
      <c r="A28" s="11" t="s">
        <v>464</v>
      </c>
      <c r="B28" s="11" t="s">
        <v>114</v>
      </c>
      <c r="C28" s="16">
        <v>0</v>
      </c>
      <c r="D28" s="12">
        <f>'Stampa rendiconto PI - ENTRATE'!K64</f>
        <v>180100</v>
      </c>
      <c r="E28" s="12">
        <f>'Stampa rendiconto PII - ENTRATE'!L64</f>
        <v>180100</v>
      </c>
      <c r="F28" s="12">
        <v>0</v>
      </c>
      <c r="G28" s="12">
        <v>5738</v>
      </c>
      <c r="H28" s="12">
        <v>5738</v>
      </c>
    </row>
    <row r="29" spans="1:8" x14ac:dyDescent="0.2">
      <c r="A29" s="322" t="s">
        <v>465</v>
      </c>
      <c r="B29" s="319"/>
      <c r="C29" s="15">
        <v>0</v>
      </c>
      <c r="D29" s="13">
        <f>SUM(D25:D28)</f>
        <v>180100</v>
      </c>
      <c r="E29" s="13">
        <f>SUM(E25:E28)</f>
        <v>180100</v>
      </c>
      <c r="F29" s="13">
        <v>0</v>
      </c>
      <c r="G29" s="13">
        <f>G28</f>
        <v>5738</v>
      </c>
      <c r="H29" s="13">
        <f>H28</f>
        <v>5738</v>
      </c>
    </row>
    <row r="30" spans="1:8" ht="16.5" x14ac:dyDescent="0.2">
      <c r="A30" s="10" t="s">
        <v>466</v>
      </c>
      <c r="B30" s="10" t="s">
        <v>467</v>
      </c>
      <c r="C30" s="10"/>
      <c r="D30" s="10"/>
      <c r="E30" s="10"/>
      <c r="F30" s="10"/>
      <c r="G30" s="10"/>
      <c r="H30" s="10"/>
    </row>
    <row r="31" spans="1:8" x14ac:dyDescent="0.2">
      <c r="A31" s="11" t="s">
        <v>468</v>
      </c>
      <c r="B31" s="11" t="s">
        <v>121</v>
      </c>
      <c r="C31" s="16">
        <v>66477553</v>
      </c>
      <c r="D31" s="12">
        <f>'Stampa rendiconto PI - ENTRATE'!K67</f>
        <v>23995867</v>
      </c>
      <c r="E31" s="12">
        <f>'Stampa rendiconto PII - ENTRATE'!L67</f>
        <v>37246672</v>
      </c>
      <c r="F31" s="12">
        <v>79728358</v>
      </c>
      <c r="G31" s="12">
        <v>0</v>
      </c>
      <c r="H31" s="12">
        <v>12074222</v>
      </c>
    </row>
    <row r="32" spans="1:8" x14ac:dyDescent="0.2">
      <c r="A32" s="11" t="s">
        <v>469</v>
      </c>
      <c r="B32" s="11" t="s">
        <v>128</v>
      </c>
      <c r="C32" s="1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1:8" ht="16.5" x14ac:dyDescent="0.2">
      <c r="A33" s="11" t="s">
        <v>470</v>
      </c>
      <c r="B33" s="11" t="s">
        <v>132</v>
      </c>
      <c r="C33" s="1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ht="16.5" x14ac:dyDescent="0.2">
      <c r="A34" s="11" t="s">
        <v>471</v>
      </c>
      <c r="B34" s="11" t="s">
        <v>139</v>
      </c>
      <c r="C34" s="16">
        <v>4120458</v>
      </c>
      <c r="D34" s="12">
        <f>'Stampa rendiconto PI - ENTRATE'!K79</f>
        <v>0</v>
      </c>
      <c r="E34" s="12">
        <f>'Stampa rendiconto PII - ENTRATE'!L79</f>
        <v>229606</v>
      </c>
      <c r="F34" s="12">
        <v>4350064</v>
      </c>
      <c r="G34" s="12">
        <v>3700307</v>
      </c>
      <c r="H34" s="12">
        <v>70231</v>
      </c>
    </row>
    <row r="35" spans="1:8" x14ac:dyDescent="0.2">
      <c r="A35" s="322" t="s">
        <v>472</v>
      </c>
      <c r="B35" s="319"/>
      <c r="C35" s="13">
        <f t="shared" ref="C35:D35" si="3">SUM(C31:C34)</f>
        <v>70598011</v>
      </c>
      <c r="D35" s="13">
        <f t="shared" si="3"/>
        <v>23995867</v>
      </c>
      <c r="E35" s="13">
        <f>SUM(E31:E34)</f>
        <v>37476278</v>
      </c>
      <c r="F35" s="13">
        <f>SUM(F31:F34)</f>
        <v>84078422</v>
      </c>
      <c r="G35" s="13">
        <f t="shared" ref="G35:H35" si="4">SUM(G31:G34)</f>
        <v>3700307</v>
      </c>
      <c r="H35" s="13">
        <f t="shared" si="4"/>
        <v>12144453</v>
      </c>
    </row>
    <row r="36" spans="1:8" x14ac:dyDescent="0.2">
      <c r="A36" s="10" t="s">
        <v>473</v>
      </c>
      <c r="B36" s="10" t="s">
        <v>474</v>
      </c>
      <c r="C36" s="10"/>
      <c r="D36" s="10"/>
      <c r="E36" s="10"/>
      <c r="F36" s="10"/>
      <c r="G36" s="10"/>
      <c r="H36" s="10"/>
    </row>
    <row r="37" spans="1:8" x14ac:dyDescent="0.2">
      <c r="A37" s="11" t="s">
        <v>475</v>
      </c>
      <c r="B37" s="11" t="s">
        <v>145</v>
      </c>
      <c r="C37" s="1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ht="16.5" x14ac:dyDescent="0.2">
      <c r="A38" s="11" t="s">
        <v>476</v>
      </c>
      <c r="B38" s="11" t="s">
        <v>150</v>
      </c>
      <c r="C38" s="16">
        <v>0</v>
      </c>
      <c r="D38" s="12">
        <f>'Stampa rendiconto PI - ENTRATE'!K86</f>
        <v>7869</v>
      </c>
      <c r="E38" s="12">
        <f>'Stampa rendiconto PII - ENTRATE'!L87</f>
        <v>7869</v>
      </c>
      <c r="F38" s="12">
        <v>0</v>
      </c>
      <c r="G38" s="12">
        <v>33121</v>
      </c>
      <c r="H38" s="12">
        <v>33121</v>
      </c>
    </row>
    <row r="39" spans="1:8" x14ac:dyDescent="0.2">
      <c r="A39" s="11" t="s">
        <v>477</v>
      </c>
      <c r="B39" s="11" t="s">
        <v>157</v>
      </c>
      <c r="C39" s="1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322" t="s">
        <v>478</v>
      </c>
      <c r="B40" s="319"/>
      <c r="C40" s="15">
        <v>0</v>
      </c>
      <c r="D40" s="13">
        <f>SUM(D37:D39)</f>
        <v>7869</v>
      </c>
      <c r="E40" s="13">
        <f>SUM(E37:E39)</f>
        <v>7869</v>
      </c>
      <c r="F40" s="13">
        <f>SUM(F37:F39)</f>
        <v>0</v>
      </c>
      <c r="G40" s="13">
        <f>SUM(G37:G39)</f>
        <v>33121</v>
      </c>
      <c r="H40" s="13">
        <f>SUM(H37:H39)</f>
        <v>33121</v>
      </c>
    </row>
    <row r="41" spans="1:8" x14ac:dyDescent="0.2">
      <c r="A41" s="322" t="s">
        <v>479</v>
      </c>
      <c r="B41" s="319"/>
      <c r="C41" s="13">
        <f t="shared" ref="C41" si="5">C35</f>
        <v>70598011</v>
      </c>
      <c r="D41" s="13">
        <f>D35+D40+D29</f>
        <v>24183836</v>
      </c>
      <c r="E41" s="13">
        <f>E35+E40+E29</f>
        <v>37664247</v>
      </c>
      <c r="F41" s="13">
        <f>F35+F40</f>
        <v>84078422</v>
      </c>
      <c r="G41" s="13">
        <f>G35+G40+G29</f>
        <v>3739166</v>
      </c>
      <c r="H41" s="13">
        <f>H35+H40+H29</f>
        <v>12183312</v>
      </c>
    </row>
    <row r="42" spans="1:8" x14ac:dyDescent="0.2">
      <c r="A42" s="9" t="s">
        <v>162</v>
      </c>
      <c r="B42" s="9" t="s">
        <v>163</v>
      </c>
      <c r="C42" s="9"/>
      <c r="D42" s="9"/>
      <c r="E42" s="9"/>
      <c r="F42" s="9"/>
      <c r="G42" s="9"/>
      <c r="H42" s="9"/>
    </row>
    <row r="43" spans="1:8" ht="16.5" x14ac:dyDescent="0.2">
      <c r="A43" s="10" t="s">
        <v>480</v>
      </c>
      <c r="B43" s="10" t="s">
        <v>481</v>
      </c>
      <c r="C43" s="10"/>
      <c r="D43" s="10"/>
      <c r="E43" s="10"/>
      <c r="F43" s="10"/>
      <c r="G43" s="10"/>
      <c r="H43" s="10"/>
    </row>
    <row r="44" spans="1:8" ht="16.5" x14ac:dyDescent="0.2">
      <c r="A44" s="11" t="s">
        <v>482</v>
      </c>
      <c r="B44" s="11" t="s">
        <v>165</v>
      </c>
      <c r="C44" s="16">
        <v>83772</v>
      </c>
      <c r="D44" s="12">
        <f>'Stampa rendiconto PI - ENTRATE'!K103</f>
        <v>2613131</v>
      </c>
      <c r="E44" s="12">
        <f>'Stampa rendiconto PII - ENTRATE'!L103</f>
        <v>2613897</v>
      </c>
      <c r="F44" s="12">
        <v>96374</v>
      </c>
      <c r="G44" s="12">
        <v>1837866</v>
      </c>
      <c r="H44" s="12">
        <v>1854785</v>
      </c>
    </row>
    <row r="45" spans="1:8" x14ac:dyDescent="0.2">
      <c r="A45" s="322" t="s">
        <v>483</v>
      </c>
      <c r="B45" s="319"/>
      <c r="C45" s="15">
        <f>SUM(C44)</f>
        <v>83772</v>
      </c>
      <c r="D45" s="13">
        <f>SUM(D44)</f>
        <v>2613131</v>
      </c>
      <c r="E45" s="13">
        <f>SUM(E44)</f>
        <v>2613897</v>
      </c>
      <c r="F45" s="13">
        <f t="shared" ref="F45:H46" si="6">F44</f>
        <v>96374</v>
      </c>
      <c r="G45" s="13">
        <f t="shared" si="6"/>
        <v>1837866</v>
      </c>
      <c r="H45" s="13">
        <f t="shared" si="6"/>
        <v>1854785</v>
      </c>
    </row>
    <row r="46" spans="1:8" x14ac:dyDescent="0.2">
      <c r="A46" s="322" t="s">
        <v>484</v>
      </c>
      <c r="B46" s="319"/>
      <c r="C46" s="13">
        <f>C45</f>
        <v>83772</v>
      </c>
      <c r="D46" s="13">
        <f>D45</f>
        <v>2613131</v>
      </c>
      <c r="E46" s="13">
        <f>E45</f>
        <v>2613897</v>
      </c>
      <c r="F46" s="13">
        <f t="shared" si="6"/>
        <v>96374</v>
      </c>
      <c r="G46" s="13">
        <f t="shared" si="6"/>
        <v>1837866</v>
      </c>
      <c r="H46" s="13">
        <f t="shared" si="6"/>
        <v>1854785</v>
      </c>
    </row>
    <row r="47" spans="1:8" x14ac:dyDescent="0.2">
      <c r="A47" s="323" t="s">
        <v>485</v>
      </c>
      <c r="B47" s="319"/>
      <c r="C47" s="17">
        <f>C22+C41+C46</f>
        <v>75753003</v>
      </c>
      <c r="D47" s="17">
        <f>D22+D41+D46</f>
        <v>54629231</v>
      </c>
      <c r="E47" s="17">
        <f>E22+E41+E46</f>
        <v>66007176</v>
      </c>
      <c r="F47" s="17">
        <f>F22+F41+F46</f>
        <v>87149708</v>
      </c>
      <c r="G47" s="17">
        <f>G22+G41+G46</f>
        <v>28642765</v>
      </c>
      <c r="H47" s="17">
        <f t="shared" ref="H47" si="7">H22+H41+H46</f>
        <v>37970034</v>
      </c>
    </row>
  </sheetData>
  <mergeCells count="18">
    <mergeCell ref="A47:B47"/>
    <mergeCell ref="A6:B6"/>
    <mergeCell ref="A7:B7"/>
    <mergeCell ref="A14:B14"/>
    <mergeCell ref="A21:B21"/>
    <mergeCell ref="A22:B22"/>
    <mergeCell ref="A29:B29"/>
    <mergeCell ref="A35:B35"/>
    <mergeCell ref="A40:B40"/>
    <mergeCell ref="A41:B41"/>
    <mergeCell ref="A45:B45"/>
    <mergeCell ref="A46:B46"/>
    <mergeCell ref="A1:H1"/>
    <mergeCell ref="A2:H2"/>
    <mergeCell ref="A3:H3"/>
    <mergeCell ref="A4:B4"/>
    <mergeCell ref="C4:E4"/>
    <mergeCell ref="F4:H4"/>
  </mergeCells>
  <pageMargins left="0" right="0" top="0.98425196850393704" bottom="0.98425196850393704" header="0" footer="0"/>
  <pageSetup paperSize="9" scale="90" orientation="portrait" r:id="rId1"/>
  <headerFooter alignWithMargins="0">
    <oddFooter>&amp;L&amp;C&amp;"Arial"&amp;8&amp;P 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1"/>
  <sheetViews>
    <sheetView topLeftCell="B1" workbookViewId="0">
      <selection activeCell="I36" sqref="I36"/>
    </sheetView>
  </sheetViews>
  <sheetFormatPr defaultColWidth="9.140625" defaultRowHeight="12.75" x14ac:dyDescent="0.25"/>
  <cols>
    <col min="1" max="1" width="9.7109375" style="2" customWidth="1"/>
    <col min="2" max="2" width="43.7109375" style="2" customWidth="1"/>
    <col min="3" max="4" width="0" style="2" hidden="1" customWidth="1"/>
    <col min="5" max="13" width="15.7109375" style="2" customWidth="1"/>
    <col min="14" max="16384" width="9.140625" style="2"/>
  </cols>
  <sheetData>
    <row r="1" spans="1:13" s="1" customFormat="1" ht="18.75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s="1" customFormat="1" ht="15" x14ac:dyDescent="0.25">
      <c r="A2" s="339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s="1" customFormat="1" ht="15" x14ac:dyDescent="0.25">
      <c r="A3" s="340" t="s">
        <v>773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</row>
    <row r="4" spans="1:13" s="1" customFormat="1" ht="15" x14ac:dyDescent="0.25">
      <c r="A4" s="339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3" s="1" customFormat="1" ht="15" x14ac:dyDescent="0.25">
      <c r="A5" s="342" t="s">
        <v>2</v>
      </c>
      <c r="B5" s="343"/>
      <c r="C5" s="343"/>
      <c r="D5" s="344"/>
      <c r="E5" s="332" t="s">
        <v>3</v>
      </c>
      <c r="F5" s="343"/>
      <c r="G5" s="343"/>
      <c r="H5" s="343"/>
      <c r="I5" s="343"/>
      <c r="J5" s="343"/>
      <c r="K5" s="343"/>
      <c r="L5" s="344"/>
      <c r="M5" s="344"/>
    </row>
    <row r="6" spans="1:13" s="1" customFormat="1" ht="14.45" customHeight="1" x14ac:dyDescent="0.25">
      <c r="A6" s="331"/>
      <c r="B6" s="332"/>
      <c r="C6" s="332"/>
      <c r="D6" s="332"/>
      <c r="E6" s="331" t="s">
        <v>4</v>
      </c>
      <c r="F6" s="332"/>
      <c r="G6" s="332"/>
      <c r="H6" s="332"/>
      <c r="I6" s="333" t="s">
        <v>5</v>
      </c>
      <c r="J6" s="334"/>
      <c r="K6" s="332"/>
      <c r="L6" s="335" t="s">
        <v>6</v>
      </c>
      <c r="M6" s="336"/>
    </row>
    <row r="7" spans="1:13" ht="25.5" x14ac:dyDescent="0.25">
      <c r="A7" s="107" t="s">
        <v>7</v>
      </c>
      <c r="B7" s="331" t="s">
        <v>8</v>
      </c>
      <c r="C7" s="331"/>
      <c r="D7" s="331"/>
      <c r="E7" s="108" t="s">
        <v>9</v>
      </c>
      <c r="F7" s="107" t="s">
        <v>10</v>
      </c>
      <c r="G7" s="108" t="s">
        <v>11</v>
      </c>
      <c r="H7" s="108" t="s">
        <v>12</v>
      </c>
      <c r="I7" s="108" t="s">
        <v>13</v>
      </c>
      <c r="J7" s="108" t="s">
        <v>14</v>
      </c>
      <c r="K7" s="107" t="s">
        <v>15</v>
      </c>
      <c r="L7" s="108" t="s">
        <v>16</v>
      </c>
      <c r="M7" s="108" t="s">
        <v>17</v>
      </c>
    </row>
    <row r="8" spans="1:13" x14ac:dyDescent="0.25">
      <c r="A8" s="109" t="s">
        <v>18</v>
      </c>
      <c r="B8" s="325" t="s">
        <v>19</v>
      </c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7"/>
    </row>
    <row r="9" spans="1:13" ht="12.95" customHeight="1" x14ac:dyDescent="0.25">
      <c r="A9" s="110" t="s">
        <v>20</v>
      </c>
      <c r="B9" s="329" t="s">
        <v>21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</row>
    <row r="10" spans="1:13" x14ac:dyDescent="0.25">
      <c r="A10" s="111" t="s">
        <v>22</v>
      </c>
      <c r="B10" s="112" t="s">
        <v>23</v>
      </c>
      <c r="C10" s="111"/>
      <c r="D10" s="111"/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</row>
    <row r="11" spans="1:13" x14ac:dyDescent="0.25">
      <c r="A11" s="328" t="s">
        <v>24</v>
      </c>
      <c r="B11" s="328"/>
      <c r="C11" s="328"/>
      <c r="D11" s="328"/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</row>
    <row r="12" spans="1:13" ht="12.95" customHeight="1" x14ac:dyDescent="0.25">
      <c r="A12" s="110" t="s">
        <v>25</v>
      </c>
      <c r="B12" s="329" t="s">
        <v>26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</row>
    <row r="13" spans="1:13" x14ac:dyDescent="0.25">
      <c r="A13" s="111" t="s">
        <v>27</v>
      </c>
      <c r="B13" s="112" t="s">
        <v>28</v>
      </c>
      <c r="C13" s="111"/>
      <c r="D13" s="111"/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</row>
    <row r="14" spans="1:13" x14ac:dyDescent="0.25">
      <c r="A14" s="328" t="s">
        <v>29</v>
      </c>
      <c r="B14" s="328"/>
      <c r="C14" s="328"/>
      <c r="D14" s="328"/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</row>
    <row r="15" spans="1:13" ht="12.95" customHeight="1" x14ac:dyDescent="0.25">
      <c r="A15" s="110" t="s">
        <v>30</v>
      </c>
      <c r="B15" s="329" t="s">
        <v>31</v>
      </c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</row>
    <row r="16" spans="1:13" x14ac:dyDescent="0.25">
      <c r="A16" s="111" t="s">
        <v>32</v>
      </c>
      <c r="B16" s="112" t="s">
        <v>33</v>
      </c>
      <c r="C16" s="111"/>
      <c r="D16" s="111"/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</row>
    <row r="17" spans="1:13" x14ac:dyDescent="0.25">
      <c r="A17" s="111" t="s">
        <v>34</v>
      </c>
      <c r="B17" s="112" t="s">
        <v>35</v>
      </c>
      <c r="C17" s="111"/>
      <c r="D17" s="111"/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</row>
    <row r="18" spans="1:13" x14ac:dyDescent="0.25">
      <c r="A18" s="328" t="s">
        <v>36</v>
      </c>
      <c r="B18" s="328"/>
      <c r="C18" s="328"/>
      <c r="D18" s="328"/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</row>
    <row r="19" spans="1:13" ht="12.95" customHeight="1" x14ac:dyDescent="0.25">
      <c r="A19" s="110" t="s">
        <v>37</v>
      </c>
      <c r="B19" s="329" t="s">
        <v>38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</row>
    <row r="20" spans="1:13" x14ac:dyDescent="0.25">
      <c r="A20" s="111" t="s">
        <v>39</v>
      </c>
      <c r="B20" s="112" t="s">
        <v>40</v>
      </c>
      <c r="C20" s="111"/>
      <c r="D20" s="111"/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</row>
    <row r="21" spans="1:13" x14ac:dyDescent="0.25">
      <c r="A21" s="111" t="s">
        <v>41</v>
      </c>
      <c r="B21" s="112" t="s">
        <v>42</v>
      </c>
      <c r="C21" s="111"/>
      <c r="D21" s="111"/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</row>
    <row r="22" spans="1:13" x14ac:dyDescent="0.25">
      <c r="A22" s="111" t="s">
        <v>43</v>
      </c>
      <c r="B22" s="112" t="s">
        <v>44</v>
      </c>
      <c r="C22" s="111"/>
      <c r="D22" s="111"/>
      <c r="E22" s="113">
        <v>0</v>
      </c>
      <c r="F22" s="113">
        <v>0</v>
      </c>
      <c r="G22" s="113">
        <v>0</v>
      </c>
      <c r="H22" s="113">
        <v>0</v>
      </c>
      <c r="I22" s="113">
        <f>ROUND(6033.91,0)</f>
        <v>6034</v>
      </c>
      <c r="J22" s="113">
        <v>0</v>
      </c>
      <c r="K22" s="113">
        <f>ROUND(6033.91,0)</f>
        <v>6034</v>
      </c>
      <c r="L22" s="113">
        <f>K22-H22</f>
        <v>6034</v>
      </c>
      <c r="M22" s="113">
        <v>0</v>
      </c>
    </row>
    <row r="23" spans="1:13" x14ac:dyDescent="0.25">
      <c r="A23" s="328" t="s">
        <v>45</v>
      </c>
      <c r="B23" s="328"/>
      <c r="C23" s="328"/>
      <c r="D23" s="328"/>
      <c r="E23" s="114">
        <v>0</v>
      </c>
      <c r="F23" s="114">
        <v>0</v>
      </c>
      <c r="G23" s="114">
        <v>0</v>
      </c>
      <c r="H23" s="114">
        <v>0</v>
      </c>
      <c r="I23" s="114">
        <f>SUM(I20:I22)</f>
        <v>6034</v>
      </c>
      <c r="J23" s="114">
        <f t="shared" ref="J23:L23" si="0">SUM(J20:J22)</f>
        <v>0</v>
      </c>
      <c r="K23" s="114">
        <f t="shared" si="0"/>
        <v>6034</v>
      </c>
      <c r="L23" s="114">
        <f t="shared" si="0"/>
        <v>6034</v>
      </c>
      <c r="M23" s="114">
        <v>0</v>
      </c>
    </row>
    <row r="24" spans="1:13" x14ac:dyDescent="0.25">
      <c r="A24" s="110" t="s">
        <v>46</v>
      </c>
      <c r="B24" s="329" t="s">
        <v>47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1:13" x14ac:dyDescent="0.25">
      <c r="A25" s="111" t="s">
        <v>48</v>
      </c>
      <c r="B25" s="112" t="s">
        <v>49</v>
      </c>
      <c r="C25" s="111"/>
      <c r="D25" s="111"/>
      <c r="E25" s="113">
        <v>13296728</v>
      </c>
      <c r="F25" s="113">
        <v>0</v>
      </c>
      <c r="G25" s="113">
        <v>0</v>
      </c>
      <c r="H25" s="113">
        <v>13296728</v>
      </c>
      <c r="I25" s="113">
        <f>ROUND(10327591.46,0)</f>
        <v>10327591</v>
      </c>
      <c r="J25" s="113">
        <f t="shared" ref="J25:J29" si="1">K25-I25</f>
        <v>562625</v>
      </c>
      <c r="K25" s="113">
        <f>ROUND(10890216.34,0)</f>
        <v>10890216</v>
      </c>
      <c r="L25" s="113">
        <v>0</v>
      </c>
      <c r="M25" s="113">
        <f>K25-H25</f>
        <v>-2406512</v>
      </c>
    </row>
    <row r="26" spans="1:13" ht="25.5" x14ac:dyDescent="0.25">
      <c r="A26" s="111" t="s">
        <v>50</v>
      </c>
      <c r="B26" s="112" t="s">
        <v>51</v>
      </c>
      <c r="C26" s="111"/>
      <c r="D26" s="111"/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f t="shared" si="1"/>
        <v>0</v>
      </c>
      <c r="K26" s="113">
        <v>0</v>
      </c>
      <c r="L26" s="113">
        <v>0</v>
      </c>
      <c r="M26" s="113">
        <v>0</v>
      </c>
    </row>
    <row r="27" spans="1:13" ht="25.5" x14ac:dyDescent="0.25">
      <c r="A27" s="111" t="s">
        <v>52</v>
      </c>
      <c r="B27" s="112" t="s">
        <v>53</v>
      </c>
      <c r="C27" s="111"/>
      <c r="D27" s="111"/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f t="shared" si="1"/>
        <v>0</v>
      </c>
      <c r="K27" s="113">
        <v>0</v>
      </c>
      <c r="L27" s="113">
        <v>0</v>
      </c>
      <c r="M27" s="113">
        <v>0</v>
      </c>
    </row>
    <row r="28" spans="1:13" x14ac:dyDescent="0.25">
      <c r="A28" s="111" t="s">
        <v>54</v>
      </c>
      <c r="B28" s="112" t="s">
        <v>55</v>
      </c>
      <c r="C28" s="111"/>
      <c r="D28" s="111"/>
      <c r="E28" s="113">
        <v>4208993</v>
      </c>
      <c r="F28" s="113">
        <v>0</v>
      </c>
      <c r="G28" s="113">
        <v>0</v>
      </c>
      <c r="H28" s="113">
        <v>4208993</v>
      </c>
      <c r="I28" s="113">
        <f>ROUND(5619493.31,0)</f>
        <v>5619493</v>
      </c>
      <c r="J28" s="113">
        <f t="shared" si="1"/>
        <v>254646</v>
      </c>
      <c r="K28" s="113">
        <f>ROUND(5874138.71,0)</f>
        <v>5874139</v>
      </c>
      <c r="L28" s="113">
        <f>K28-H28</f>
        <v>1665146</v>
      </c>
      <c r="M28" s="113">
        <v>0</v>
      </c>
    </row>
    <row r="29" spans="1:13" ht="25.5" x14ac:dyDescent="0.25">
      <c r="A29" s="111" t="s">
        <v>56</v>
      </c>
      <c r="B29" s="112" t="s">
        <v>57</v>
      </c>
      <c r="C29" s="111"/>
      <c r="D29" s="111"/>
      <c r="E29" s="113">
        <v>63790</v>
      </c>
      <c r="F29" s="113">
        <v>0</v>
      </c>
      <c r="G29" s="113">
        <v>0</v>
      </c>
      <c r="H29" s="113">
        <v>63790</v>
      </c>
      <c r="I29" s="113">
        <v>52070</v>
      </c>
      <c r="J29" s="113">
        <f t="shared" si="1"/>
        <v>3810</v>
      </c>
      <c r="K29" s="113">
        <v>55880</v>
      </c>
      <c r="L29" s="113">
        <v>0</v>
      </c>
      <c r="M29" s="113">
        <f>K29-H29</f>
        <v>-7910</v>
      </c>
    </row>
    <row r="30" spans="1:13" ht="25.5" x14ac:dyDescent="0.25">
      <c r="A30" s="111" t="s">
        <v>58</v>
      </c>
      <c r="B30" s="112" t="s">
        <v>59</v>
      </c>
      <c r="C30" s="111"/>
      <c r="D30" s="111"/>
      <c r="E30" s="113">
        <v>50000</v>
      </c>
      <c r="F30" s="113">
        <v>0</v>
      </c>
      <c r="G30" s="113">
        <v>0</v>
      </c>
      <c r="H30" s="113">
        <v>50000</v>
      </c>
      <c r="I30" s="113">
        <f>ROUND(75553.21,0)</f>
        <v>75553</v>
      </c>
      <c r="J30" s="113">
        <v>0</v>
      </c>
      <c r="K30" s="113">
        <f>ROUND(75553.21,0)</f>
        <v>75553</v>
      </c>
      <c r="L30" s="113">
        <f>K30-H30</f>
        <v>25553</v>
      </c>
      <c r="M30" s="113">
        <v>0</v>
      </c>
    </row>
    <row r="31" spans="1:13" x14ac:dyDescent="0.25">
      <c r="A31" s="328" t="s">
        <v>60</v>
      </c>
      <c r="B31" s="328"/>
      <c r="C31" s="328"/>
      <c r="D31" s="328"/>
      <c r="E31" s="114">
        <v>17619511</v>
      </c>
      <c r="F31" s="114">
        <v>0</v>
      </c>
      <c r="G31" s="114">
        <v>0</v>
      </c>
      <c r="H31" s="114">
        <v>17619511</v>
      </c>
      <c r="I31" s="114">
        <f>SUM(I25:I30)</f>
        <v>16074707</v>
      </c>
      <c r="J31" s="114">
        <f>SUM(J25:J30)</f>
        <v>821081</v>
      </c>
      <c r="K31" s="114">
        <f>SUM(K25:K30)</f>
        <v>16895788</v>
      </c>
      <c r="L31" s="114">
        <f>SUM(L25:L30)</f>
        <v>1690699</v>
      </c>
      <c r="M31" s="114">
        <f>SUM(M25:M30)</f>
        <v>-2414422</v>
      </c>
    </row>
    <row r="32" spans="1:13" ht="12.95" customHeight="1" x14ac:dyDescent="0.25">
      <c r="A32" s="110" t="s">
        <v>61</v>
      </c>
      <c r="B32" s="329" t="s">
        <v>62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</row>
    <row r="33" spans="1:13" ht="25.5" x14ac:dyDescent="0.25">
      <c r="A33" s="111" t="s">
        <v>63</v>
      </c>
      <c r="B33" s="112" t="s">
        <v>64</v>
      </c>
      <c r="C33" s="111"/>
      <c r="D33" s="111"/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</row>
    <row r="34" spans="1:13" x14ac:dyDescent="0.25">
      <c r="A34" s="328" t="s">
        <v>65</v>
      </c>
      <c r="B34" s="328"/>
      <c r="C34" s="328"/>
      <c r="D34" s="328"/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</row>
    <row r="35" spans="1:13" x14ac:dyDescent="0.25">
      <c r="A35" s="110" t="s">
        <v>66</v>
      </c>
      <c r="B35" s="329" t="s">
        <v>67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</row>
    <row r="36" spans="1:13" ht="25.5" x14ac:dyDescent="0.25">
      <c r="A36" s="111" t="s">
        <v>68</v>
      </c>
      <c r="B36" s="112" t="s">
        <v>69</v>
      </c>
      <c r="C36" s="111"/>
      <c r="D36" s="111"/>
      <c r="E36" s="113">
        <v>2267000</v>
      </c>
      <c r="F36" s="113">
        <v>0</v>
      </c>
      <c r="G36" s="113">
        <v>0</v>
      </c>
      <c r="H36" s="113">
        <v>2267000</v>
      </c>
      <c r="I36" s="115">
        <f>ROUND(624768.35,0)+5</f>
        <v>624773</v>
      </c>
      <c r="J36" s="115">
        <f>K36-I36</f>
        <v>3288890</v>
      </c>
      <c r="K36" s="113">
        <f>ROUND(3913662.81,0)</f>
        <v>3913663</v>
      </c>
      <c r="L36" s="113">
        <f t="shared" ref="L36:L39" si="2">K36-H36</f>
        <v>1646663</v>
      </c>
      <c r="M36" s="113">
        <v>0</v>
      </c>
    </row>
    <row r="37" spans="1:13" ht="25.5" x14ac:dyDescent="0.25">
      <c r="A37" s="111" t="s">
        <v>70</v>
      </c>
      <c r="B37" s="112" t="s">
        <v>71</v>
      </c>
      <c r="C37" s="111"/>
      <c r="D37" s="111"/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f t="shared" si="2"/>
        <v>0</v>
      </c>
      <c r="M37" s="113">
        <v>0</v>
      </c>
    </row>
    <row r="38" spans="1:13" x14ac:dyDescent="0.25">
      <c r="A38" s="111" t="s">
        <v>72</v>
      </c>
      <c r="B38" s="112" t="s">
        <v>73</v>
      </c>
      <c r="C38" s="111"/>
      <c r="D38" s="111"/>
      <c r="E38" s="113">
        <v>5000</v>
      </c>
      <c r="F38" s="113">
        <v>0</v>
      </c>
      <c r="G38" s="113">
        <v>0</v>
      </c>
      <c r="H38" s="113">
        <v>5000</v>
      </c>
      <c r="I38" s="113">
        <v>0</v>
      </c>
      <c r="J38" s="113">
        <v>0</v>
      </c>
      <c r="K38" s="113">
        <v>0</v>
      </c>
      <c r="L38" s="113">
        <v>0</v>
      </c>
      <c r="M38" s="113">
        <v>-5000</v>
      </c>
    </row>
    <row r="39" spans="1:13" x14ac:dyDescent="0.25">
      <c r="A39" s="111" t="s">
        <v>74</v>
      </c>
      <c r="B39" s="112" t="s">
        <v>75</v>
      </c>
      <c r="C39" s="111"/>
      <c r="D39" s="111"/>
      <c r="E39" s="113">
        <v>0</v>
      </c>
      <c r="F39" s="113">
        <v>0</v>
      </c>
      <c r="G39" s="113">
        <v>0</v>
      </c>
      <c r="H39" s="113">
        <v>0</v>
      </c>
      <c r="I39" s="113">
        <f>ROUND(20.44,0)</f>
        <v>20</v>
      </c>
      <c r="J39" s="113">
        <v>0</v>
      </c>
      <c r="K39" s="113">
        <f>ROUND(20.44,0)</f>
        <v>20</v>
      </c>
      <c r="L39" s="113">
        <f t="shared" si="2"/>
        <v>20</v>
      </c>
      <c r="M39" s="113">
        <v>0</v>
      </c>
    </row>
    <row r="40" spans="1:13" x14ac:dyDescent="0.25">
      <c r="A40" s="328" t="s">
        <v>76</v>
      </c>
      <c r="B40" s="328"/>
      <c r="C40" s="328"/>
      <c r="D40" s="328"/>
      <c r="E40" s="114">
        <v>2272000</v>
      </c>
      <c r="F40" s="114">
        <v>0</v>
      </c>
      <c r="G40" s="114">
        <v>0</v>
      </c>
      <c r="H40" s="114">
        <v>2272000</v>
      </c>
      <c r="I40" s="114">
        <f>SUM(I36:I39)</f>
        <v>624793</v>
      </c>
      <c r="J40" s="114">
        <f t="shared" ref="J40:K40" si="3">SUM(J36:J39)</f>
        <v>3288890</v>
      </c>
      <c r="K40" s="114">
        <f t="shared" si="3"/>
        <v>3913683</v>
      </c>
      <c r="L40" s="114">
        <f>SUM(L36:L39)</f>
        <v>1646683</v>
      </c>
      <c r="M40" s="114">
        <v>-5000</v>
      </c>
    </row>
    <row r="41" spans="1:13" ht="12.95" customHeight="1" x14ac:dyDescent="0.25">
      <c r="A41" s="110" t="s">
        <v>77</v>
      </c>
      <c r="B41" s="329" t="s">
        <v>78</v>
      </c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</row>
    <row r="42" spans="1:13" x14ac:dyDescent="0.25">
      <c r="A42" s="111" t="s">
        <v>79</v>
      </c>
      <c r="B42" s="112" t="s">
        <v>80</v>
      </c>
      <c r="C42" s="111"/>
      <c r="D42" s="111"/>
      <c r="E42" s="113">
        <v>15000</v>
      </c>
      <c r="F42" s="113">
        <v>0</v>
      </c>
      <c r="G42" s="113">
        <v>0</v>
      </c>
      <c r="H42" s="113">
        <v>15000</v>
      </c>
      <c r="I42" s="113">
        <f>ROUND(43576.26,0)</f>
        <v>43576</v>
      </c>
      <c r="J42" s="113">
        <f t="shared" ref="J42:J43" si="4">K42-I42</f>
        <v>382607</v>
      </c>
      <c r="K42" s="113">
        <f>ROUND(426183.45,0)</f>
        <v>426183</v>
      </c>
      <c r="L42" s="113">
        <f t="shared" ref="L42:L43" si="5">K42-H42</f>
        <v>411183</v>
      </c>
      <c r="M42" s="113">
        <v>0</v>
      </c>
    </row>
    <row r="43" spans="1:13" ht="38.25" x14ac:dyDescent="0.25">
      <c r="A43" s="111" t="s">
        <v>81</v>
      </c>
      <c r="B43" s="112" t="s">
        <v>82</v>
      </c>
      <c r="C43" s="111"/>
      <c r="D43" s="111"/>
      <c r="E43" s="113">
        <v>0</v>
      </c>
      <c r="F43" s="113">
        <v>0</v>
      </c>
      <c r="G43" s="113">
        <v>0</v>
      </c>
      <c r="H43" s="113">
        <v>0</v>
      </c>
      <c r="I43" s="113">
        <v>6355657</v>
      </c>
      <c r="J43" s="113">
        <f t="shared" si="4"/>
        <v>0</v>
      </c>
      <c r="K43" s="113">
        <v>6355657</v>
      </c>
      <c r="L43" s="113">
        <f t="shared" si="5"/>
        <v>6355657</v>
      </c>
      <c r="M43" s="113">
        <v>0</v>
      </c>
    </row>
    <row r="44" spans="1:13" x14ac:dyDescent="0.25">
      <c r="A44" s="328" t="s">
        <v>83</v>
      </c>
      <c r="B44" s="328"/>
      <c r="C44" s="328"/>
      <c r="D44" s="328"/>
      <c r="E44" s="114">
        <v>15000</v>
      </c>
      <c r="F44" s="114">
        <v>0</v>
      </c>
      <c r="G44" s="114">
        <v>0</v>
      </c>
      <c r="H44" s="114">
        <v>15000</v>
      </c>
      <c r="I44" s="114">
        <f>SUM(I42:I43)</f>
        <v>6399233</v>
      </c>
      <c r="J44" s="114">
        <f t="shared" ref="J44:K44" si="6">SUM(J42:J43)</f>
        <v>382607</v>
      </c>
      <c r="K44" s="114">
        <f t="shared" si="6"/>
        <v>6781840</v>
      </c>
      <c r="L44" s="114">
        <f>SUM(L42:L43)</f>
        <v>6766840</v>
      </c>
      <c r="M44" s="114">
        <v>0</v>
      </c>
    </row>
    <row r="45" spans="1:13" ht="12.95" customHeight="1" x14ac:dyDescent="0.25">
      <c r="A45" s="110" t="s">
        <v>84</v>
      </c>
      <c r="B45" s="329" t="s">
        <v>85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</row>
    <row r="46" spans="1:13" ht="51" x14ac:dyDescent="0.25">
      <c r="A46" s="111" t="s">
        <v>86</v>
      </c>
      <c r="B46" s="112" t="s">
        <v>87</v>
      </c>
      <c r="C46" s="111"/>
      <c r="D46" s="111"/>
      <c r="E46" s="113">
        <v>35000</v>
      </c>
      <c r="F46" s="113">
        <v>0</v>
      </c>
      <c r="G46" s="113">
        <v>0</v>
      </c>
      <c r="H46" s="113">
        <v>35000</v>
      </c>
      <c r="I46" s="115">
        <f>ROUND(67194.74,0)</f>
        <v>67195</v>
      </c>
      <c r="J46" s="113">
        <v>0</v>
      </c>
      <c r="K46" s="113">
        <f>ROUND(67194.74,0)</f>
        <v>67195</v>
      </c>
      <c r="L46" s="113">
        <f t="shared" ref="L46" si="7">K46-H46</f>
        <v>32195</v>
      </c>
      <c r="M46" s="113">
        <v>0</v>
      </c>
    </row>
    <row r="47" spans="1:13" x14ac:dyDescent="0.25">
      <c r="A47" s="111" t="s">
        <v>88</v>
      </c>
      <c r="B47" s="112" t="s">
        <v>89</v>
      </c>
      <c r="C47" s="111"/>
      <c r="D47" s="111"/>
      <c r="E47" s="113">
        <v>20000</v>
      </c>
      <c r="F47" s="113">
        <v>165000</v>
      </c>
      <c r="G47" s="113">
        <v>0</v>
      </c>
      <c r="H47" s="113">
        <v>185000</v>
      </c>
      <c r="I47" s="113">
        <f>ROUND(167723.5,0)</f>
        <v>167724</v>
      </c>
      <c r="J47" s="113">
        <v>0</v>
      </c>
      <c r="K47" s="113">
        <f>ROUND(167723.5,0)</f>
        <v>167724</v>
      </c>
      <c r="L47" s="113">
        <v>0</v>
      </c>
      <c r="M47" s="113">
        <f>K47-H47</f>
        <v>-17276</v>
      </c>
    </row>
    <row r="48" spans="1:13" x14ac:dyDescent="0.25">
      <c r="A48" s="328" t="s">
        <v>90</v>
      </c>
      <c r="B48" s="328"/>
      <c r="C48" s="328"/>
      <c r="D48" s="328"/>
      <c r="E48" s="114">
        <v>55000</v>
      </c>
      <c r="F48" s="114">
        <v>165000</v>
      </c>
      <c r="G48" s="114">
        <v>0</v>
      </c>
      <c r="H48" s="114">
        <v>220000</v>
      </c>
      <c r="I48" s="114">
        <f>SUM(I46:I47)</f>
        <v>234919</v>
      </c>
      <c r="J48" s="114">
        <v>0</v>
      </c>
      <c r="K48" s="114">
        <f>SUM(K46:K47)</f>
        <v>234919</v>
      </c>
      <c r="L48" s="114">
        <f>SUM(L46:L47)</f>
        <v>32195</v>
      </c>
      <c r="M48" s="114">
        <f>SUM(M46:M47)</f>
        <v>-17276</v>
      </c>
    </row>
    <row r="49" spans="1:13" x14ac:dyDescent="0.25">
      <c r="A49" s="328" t="s">
        <v>91</v>
      </c>
      <c r="B49" s="328"/>
      <c r="C49" s="328"/>
      <c r="D49" s="328"/>
      <c r="E49" s="114">
        <v>19961511</v>
      </c>
      <c r="F49" s="114">
        <v>165000</v>
      </c>
      <c r="G49" s="114">
        <v>0</v>
      </c>
      <c r="H49" s="114">
        <v>20126511</v>
      </c>
      <c r="I49" s="114">
        <f>I48+I44+I40+I34+I31+I23+I18+I14+I11</f>
        <v>23339686</v>
      </c>
      <c r="J49" s="114">
        <f>J48+J44+J40+J34+J31+J23+J18+J14+J11</f>
        <v>4492578</v>
      </c>
      <c r="K49" s="114">
        <f>K48+K44+K40+K34+K31+K23+K18+K14+K11</f>
        <v>27832264</v>
      </c>
      <c r="L49" s="114">
        <f>L48+L44+L40+L34+L31+L23+L18+L14+L11</f>
        <v>10142451</v>
      </c>
      <c r="M49" s="114">
        <f>M48+M44+M40+M34+M31+M23+M18+M14+M11</f>
        <v>-2436698</v>
      </c>
    </row>
    <row r="50" spans="1:13" x14ac:dyDescent="0.25">
      <c r="A50" s="109" t="s">
        <v>92</v>
      </c>
      <c r="B50" s="325" t="s">
        <v>93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7"/>
    </row>
    <row r="51" spans="1:13" ht="12.95" customHeight="1" x14ac:dyDescent="0.25">
      <c r="A51" s="110" t="s">
        <v>94</v>
      </c>
      <c r="B51" s="329" t="s">
        <v>95</v>
      </c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</row>
    <row r="52" spans="1:13" x14ac:dyDescent="0.25">
      <c r="A52" s="111" t="s">
        <v>96</v>
      </c>
      <c r="B52" s="112" t="s">
        <v>97</v>
      </c>
      <c r="C52" s="111"/>
      <c r="D52" s="111"/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</row>
    <row r="53" spans="1:13" x14ac:dyDescent="0.25">
      <c r="A53" s="111" t="s">
        <v>98</v>
      </c>
      <c r="B53" s="112" t="s">
        <v>99</v>
      </c>
      <c r="C53" s="111"/>
      <c r="D53" s="111"/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</row>
    <row r="54" spans="1:13" x14ac:dyDescent="0.25">
      <c r="A54" s="328" t="s">
        <v>100</v>
      </c>
      <c r="B54" s="328"/>
      <c r="C54" s="328"/>
      <c r="D54" s="328"/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</row>
    <row r="55" spans="1:13" ht="12.95" customHeight="1" x14ac:dyDescent="0.25">
      <c r="A55" s="110" t="s">
        <v>101</v>
      </c>
      <c r="B55" s="329" t="s">
        <v>102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1:13" x14ac:dyDescent="0.25">
      <c r="A56" s="111" t="s">
        <v>103</v>
      </c>
      <c r="B56" s="112" t="s">
        <v>104</v>
      </c>
      <c r="C56" s="111"/>
      <c r="D56" s="111"/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</row>
    <row r="57" spans="1:13" x14ac:dyDescent="0.25">
      <c r="A57" s="111" t="s">
        <v>105</v>
      </c>
      <c r="B57" s="112" t="s">
        <v>106</v>
      </c>
      <c r="C57" s="111"/>
      <c r="D57" s="111"/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</row>
    <row r="58" spans="1:13" x14ac:dyDescent="0.25">
      <c r="A58" s="328" t="s">
        <v>107</v>
      </c>
      <c r="B58" s="328"/>
      <c r="C58" s="328"/>
      <c r="D58" s="328"/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</row>
    <row r="59" spans="1:13" x14ac:dyDescent="0.25">
      <c r="A59" s="110" t="s">
        <v>108</v>
      </c>
      <c r="B59" s="329" t="s">
        <v>109</v>
      </c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</row>
    <row r="60" spans="1:13" ht="25.5" x14ac:dyDescent="0.25">
      <c r="A60" s="111" t="s">
        <v>110</v>
      </c>
      <c r="B60" s="112" t="s">
        <v>111</v>
      </c>
      <c r="C60" s="111"/>
      <c r="D60" s="111"/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</row>
    <row r="61" spans="1:13" x14ac:dyDescent="0.25">
      <c r="A61" s="328" t="s">
        <v>112</v>
      </c>
      <c r="B61" s="328"/>
      <c r="C61" s="328"/>
      <c r="D61" s="328"/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</row>
    <row r="62" spans="1:13" x14ac:dyDescent="0.25">
      <c r="A62" s="110" t="s">
        <v>113</v>
      </c>
      <c r="B62" s="329" t="s">
        <v>114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</row>
    <row r="63" spans="1:13" ht="25.5" x14ac:dyDescent="0.25">
      <c r="A63" s="111" t="s">
        <v>115</v>
      </c>
      <c r="B63" s="112" t="s">
        <v>116</v>
      </c>
      <c r="C63" s="111"/>
      <c r="D63" s="111"/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13">
        <v>0</v>
      </c>
    </row>
    <row r="64" spans="1:13" x14ac:dyDescent="0.25">
      <c r="A64" s="111" t="s">
        <v>117</v>
      </c>
      <c r="B64" s="112" t="s">
        <v>118</v>
      </c>
      <c r="C64" s="111"/>
      <c r="D64" s="111"/>
      <c r="E64" s="113">
        <v>0</v>
      </c>
      <c r="F64" s="113">
        <v>0</v>
      </c>
      <c r="G64" s="113">
        <v>0</v>
      </c>
      <c r="H64" s="113">
        <v>0</v>
      </c>
      <c r="I64" s="113">
        <v>180100</v>
      </c>
      <c r="J64" s="113">
        <v>0</v>
      </c>
      <c r="K64" s="113">
        <v>180100</v>
      </c>
      <c r="L64" s="113">
        <v>180100</v>
      </c>
      <c r="M64" s="113">
        <v>0</v>
      </c>
    </row>
    <row r="65" spans="1:13" x14ac:dyDescent="0.25">
      <c r="A65" s="328" t="s">
        <v>119</v>
      </c>
      <c r="B65" s="328"/>
      <c r="C65" s="328"/>
      <c r="D65" s="328"/>
      <c r="E65" s="114">
        <v>0</v>
      </c>
      <c r="F65" s="114">
        <v>0</v>
      </c>
      <c r="G65" s="114">
        <v>0</v>
      </c>
      <c r="H65" s="114">
        <v>0</v>
      </c>
      <c r="I65" s="114">
        <v>180100</v>
      </c>
      <c r="J65" s="114">
        <v>0</v>
      </c>
      <c r="K65" s="114">
        <v>180100</v>
      </c>
      <c r="L65" s="114">
        <v>180100</v>
      </c>
      <c r="M65" s="114">
        <v>0</v>
      </c>
    </row>
    <row r="66" spans="1:13" x14ac:dyDescent="0.25">
      <c r="A66" s="110" t="s">
        <v>120</v>
      </c>
      <c r="B66" s="329" t="s">
        <v>121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</row>
    <row r="67" spans="1:13" ht="25.5" x14ac:dyDescent="0.25">
      <c r="A67" s="111" t="s">
        <v>122</v>
      </c>
      <c r="B67" s="112" t="s">
        <v>123</v>
      </c>
      <c r="C67" s="111"/>
      <c r="D67" s="111"/>
      <c r="E67" s="113">
        <v>15760000</v>
      </c>
      <c r="F67" s="113">
        <v>1426000</v>
      </c>
      <c r="G67" s="113">
        <v>0</v>
      </c>
      <c r="H67" s="113">
        <v>17186000</v>
      </c>
      <c r="I67" s="113">
        <f>ROUND(21435265.66,0)</f>
        <v>21435266</v>
      </c>
      <c r="J67" s="113">
        <f t="shared" ref="J67" si="8">K67-I67</f>
        <v>2560601</v>
      </c>
      <c r="K67" s="113">
        <f>ROUND(23995866.7,0)</f>
        <v>23995867</v>
      </c>
      <c r="L67" s="113">
        <f t="shared" ref="L67" si="9">K67-H67</f>
        <v>6809867</v>
      </c>
      <c r="M67" s="113">
        <v>0</v>
      </c>
    </row>
    <row r="68" spans="1:13" ht="51" x14ac:dyDescent="0.25">
      <c r="A68" s="111" t="s">
        <v>124</v>
      </c>
      <c r="B68" s="112" t="s">
        <v>125</v>
      </c>
      <c r="C68" s="111"/>
      <c r="D68" s="111"/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</row>
    <row r="69" spans="1:13" x14ac:dyDescent="0.25">
      <c r="A69" s="328" t="s">
        <v>126</v>
      </c>
      <c r="B69" s="328"/>
      <c r="C69" s="328"/>
      <c r="D69" s="328"/>
      <c r="E69" s="114">
        <v>15760000</v>
      </c>
      <c r="F69" s="114">
        <v>1426000</v>
      </c>
      <c r="G69" s="114">
        <v>0</v>
      </c>
      <c r="H69" s="114">
        <v>17186000</v>
      </c>
      <c r="I69" s="114">
        <f>SUM(I67:I68)</f>
        <v>21435266</v>
      </c>
      <c r="J69" s="114">
        <f t="shared" ref="J69:M69" si="10">SUM(J67:J68)</f>
        <v>2560601</v>
      </c>
      <c r="K69" s="114">
        <f t="shared" si="10"/>
        <v>23995867</v>
      </c>
      <c r="L69" s="114">
        <f t="shared" si="10"/>
        <v>6809867</v>
      </c>
      <c r="M69" s="114">
        <f t="shared" si="10"/>
        <v>0</v>
      </c>
    </row>
    <row r="70" spans="1:13" x14ac:dyDescent="0.25">
      <c r="A70" s="110" t="s">
        <v>127</v>
      </c>
      <c r="B70" s="329" t="s">
        <v>128</v>
      </c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</row>
    <row r="71" spans="1:13" x14ac:dyDescent="0.25">
      <c r="A71" s="111" t="s">
        <v>129</v>
      </c>
      <c r="B71" s="112" t="s">
        <v>28</v>
      </c>
      <c r="C71" s="111"/>
      <c r="D71" s="111"/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  <c r="L71" s="113">
        <v>0</v>
      </c>
      <c r="M71" s="113">
        <v>0</v>
      </c>
    </row>
    <row r="72" spans="1:13" x14ac:dyDescent="0.25">
      <c r="A72" s="328" t="s">
        <v>130</v>
      </c>
      <c r="B72" s="328"/>
      <c r="C72" s="328"/>
      <c r="D72" s="328"/>
      <c r="E72" s="114">
        <v>0</v>
      </c>
      <c r="F72" s="114">
        <v>0</v>
      </c>
      <c r="G72" s="114">
        <v>0</v>
      </c>
      <c r="H72" s="114">
        <v>0</v>
      </c>
      <c r="I72" s="114">
        <v>0</v>
      </c>
      <c r="J72" s="114">
        <v>0</v>
      </c>
      <c r="K72" s="114">
        <v>0</v>
      </c>
      <c r="L72" s="114">
        <v>0</v>
      </c>
      <c r="M72" s="114">
        <v>0</v>
      </c>
    </row>
    <row r="73" spans="1:13" ht="12.95" customHeight="1" x14ac:dyDescent="0.25">
      <c r="A73" s="110" t="s">
        <v>131</v>
      </c>
      <c r="B73" s="329" t="s">
        <v>132</v>
      </c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</row>
    <row r="74" spans="1:13" x14ac:dyDescent="0.25">
      <c r="A74" s="111" t="s">
        <v>133</v>
      </c>
      <c r="B74" s="112" t="s">
        <v>134</v>
      </c>
      <c r="C74" s="111"/>
      <c r="D74" s="111"/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</row>
    <row r="75" spans="1:13" x14ac:dyDescent="0.25">
      <c r="A75" s="111" t="s">
        <v>135</v>
      </c>
      <c r="B75" s="112" t="s">
        <v>136</v>
      </c>
      <c r="C75" s="111"/>
      <c r="D75" s="111"/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</row>
    <row r="76" spans="1:13" x14ac:dyDescent="0.25">
      <c r="A76" s="328" t="s">
        <v>137</v>
      </c>
      <c r="B76" s="328"/>
      <c r="C76" s="328"/>
      <c r="D76" s="328"/>
      <c r="E76" s="114">
        <v>0</v>
      </c>
      <c r="F76" s="114">
        <v>0</v>
      </c>
      <c r="G76" s="114">
        <v>0</v>
      </c>
      <c r="H76" s="114">
        <v>0</v>
      </c>
      <c r="I76" s="114">
        <v>0</v>
      </c>
      <c r="J76" s="114">
        <v>0</v>
      </c>
      <c r="K76" s="114">
        <v>0</v>
      </c>
      <c r="L76" s="114">
        <v>0</v>
      </c>
      <c r="M76" s="114">
        <v>0</v>
      </c>
    </row>
    <row r="77" spans="1:13" ht="12.95" customHeight="1" x14ac:dyDescent="0.25">
      <c r="A77" s="110" t="s">
        <v>138</v>
      </c>
      <c r="B77" s="329" t="s">
        <v>139</v>
      </c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</row>
    <row r="78" spans="1:13" x14ac:dyDescent="0.25">
      <c r="A78" s="111" t="s">
        <v>140</v>
      </c>
      <c r="B78" s="112" t="s">
        <v>141</v>
      </c>
      <c r="C78" s="111"/>
      <c r="D78" s="111"/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</row>
    <row r="79" spans="1:13" x14ac:dyDescent="0.25">
      <c r="A79" s="111" t="s">
        <v>142</v>
      </c>
      <c r="B79" s="112" t="s">
        <v>44</v>
      </c>
      <c r="C79" s="111"/>
      <c r="D79" s="111"/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</row>
    <row r="80" spans="1:13" x14ac:dyDescent="0.25">
      <c r="A80" s="328" t="s">
        <v>143</v>
      </c>
      <c r="B80" s="328"/>
      <c r="C80" s="328"/>
      <c r="D80" s="328"/>
      <c r="E80" s="114">
        <v>0</v>
      </c>
      <c r="F80" s="114">
        <v>0</v>
      </c>
      <c r="G80" s="114">
        <v>0</v>
      </c>
      <c r="H80" s="114">
        <v>0</v>
      </c>
      <c r="I80" s="114">
        <v>0</v>
      </c>
      <c r="J80" s="114">
        <v>0</v>
      </c>
      <c r="K80" s="114">
        <v>0</v>
      </c>
      <c r="L80" s="114">
        <v>0</v>
      </c>
      <c r="M80" s="114">
        <v>0</v>
      </c>
    </row>
    <row r="81" spans="1:13" x14ac:dyDescent="0.25">
      <c r="A81" s="110" t="s">
        <v>144</v>
      </c>
      <c r="B81" s="329" t="s">
        <v>145</v>
      </c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</row>
    <row r="82" spans="1:13" x14ac:dyDescent="0.25">
      <c r="A82" s="111" t="s">
        <v>146</v>
      </c>
      <c r="B82" s="112" t="s">
        <v>147</v>
      </c>
      <c r="C82" s="111"/>
      <c r="D82" s="111"/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</row>
    <row r="83" spans="1:13" x14ac:dyDescent="0.25">
      <c r="A83" s="328" t="s">
        <v>148</v>
      </c>
      <c r="B83" s="328"/>
      <c r="C83" s="328"/>
      <c r="D83" s="328"/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</row>
    <row r="84" spans="1:13" ht="12.95" customHeight="1" x14ac:dyDescent="0.25">
      <c r="A84" s="110" t="s">
        <v>149</v>
      </c>
      <c r="B84" s="329" t="s">
        <v>150</v>
      </c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</row>
    <row r="85" spans="1:13" x14ac:dyDescent="0.25">
      <c r="A85" s="111" t="s">
        <v>151</v>
      </c>
      <c r="B85" s="112" t="s">
        <v>152</v>
      </c>
      <c r="C85" s="111"/>
      <c r="D85" s="111"/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</row>
    <row r="86" spans="1:13" x14ac:dyDescent="0.25">
      <c r="A86" s="111" t="s">
        <v>153</v>
      </c>
      <c r="B86" s="112" t="s">
        <v>154</v>
      </c>
      <c r="C86" s="111"/>
      <c r="D86" s="111"/>
      <c r="E86" s="113">
        <v>0</v>
      </c>
      <c r="F86" s="113">
        <v>0</v>
      </c>
      <c r="G86" s="113">
        <v>0</v>
      </c>
      <c r="H86" s="113">
        <v>0</v>
      </c>
      <c r="I86" s="113">
        <f>ROUND(7868.62,0)</f>
        <v>7869</v>
      </c>
      <c r="J86" s="113">
        <v>0</v>
      </c>
      <c r="K86" s="113">
        <f>ROUND(7868.62,0)</f>
        <v>7869</v>
      </c>
      <c r="L86" s="113">
        <f t="shared" ref="L86" si="11">K86-H86</f>
        <v>7869</v>
      </c>
      <c r="M86" s="113">
        <v>0</v>
      </c>
    </row>
    <row r="87" spans="1:13" x14ac:dyDescent="0.25">
      <c r="A87" s="328" t="s">
        <v>155</v>
      </c>
      <c r="B87" s="328"/>
      <c r="C87" s="328"/>
      <c r="D87" s="328"/>
      <c r="E87" s="114">
        <v>0</v>
      </c>
      <c r="F87" s="114">
        <v>0</v>
      </c>
      <c r="G87" s="114">
        <v>0</v>
      </c>
      <c r="H87" s="114">
        <v>0</v>
      </c>
      <c r="I87" s="114">
        <f>SUM(I85:I86)</f>
        <v>7869</v>
      </c>
      <c r="J87" s="114">
        <f t="shared" ref="J87:K87" si="12">SUM(J85:J86)</f>
        <v>0</v>
      </c>
      <c r="K87" s="114">
        <f t="shared" si="12"/>
        <v>7869</v>
      </c>
      <c r="L87" s="114">
        <f>SUM(L85:L86)</f>
        <v>7869</v>
      </c>
      <c r="M87" s="114">
        <v>0</v>
      </c>
    </row>
    <row r="88" spans="1:13" x14ac:dyDescent="0.25">
      <c r="A88" s="110" t="s">
        <v>156</v>
      </c>
      <c r="B88" s="329" t="s">
        <v>157</v>
      </c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</row>
    <row r="89" spans="1:13" x14ac:dyDescent="0.25">
      <c r="A89" s="111" t="s">
        <v>158</v>
      </c>
      <c r="B89" s="112" t="s">
        <v>159</v>
      </c>
      <c r="C89" s="111"/>
      <c r="D89" s="111"/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</row>
    <row r="90" spans="1:13" x14ac:dyDescent="0.25">
      <c r="A90" s="328" t="s">
        <v>160</v>
      </c>
      <c r="B90" s="328"/>
      <c r="C90" s="328"/>
      <c r="D90" s="328"/>
      <c r="E90" s="114">
        <v>0</v>
      </c>
      <c r="F90" s="114">
        <v>0</v>
      </c>
      <c r="G90" s="114">
        <v>0</v>
      </c>
      <c r="H90" s="114">
        <v>0</v>
      </c>
      <c r="I90" s="114">
        <v>0</v>
      </c>
      <c r="J90" s="114">
        <v>0</v>
      </c>
      <c r="K90" s="114">
        <v>0</v>
      </c>
      <c r="L90" s="114">
        <v>0</v>
      </c>
      <c r="M90" s="114">
        <v>0</v>
      </c>
    </row>
    <row r="91" spans="1:13" x14ac:dyDescent="0.25">
      <c r="A91" s="328" t="s">
        <v>161</v>
      </c>
      <c r="B91" s="328"/>
      <c r="C91" s="328"/>
      <c r="D91" s="328"/>
      <c r="E91" s="114">
        <v>15760000</v>
      </c>
      <c r="F91" s="114">
        <v>1426000</v>
      </c>
      <c r="G91" s="114">
        <v>0</v>
      </c>
      <c r="H91" s="114">
        <v>17186000</v>
      </c>
      <c r="I91" s="114">
        <f>I69+I72+I76+I80+I83+I87+I90+I65</f>
        <v>21623235</v>
      </c>
      <c r="J91" s="114">
        <f t="shared" ref="J91" si="13">J69+J72+J76+J80+J83+J87+J90+J65</f>
        <v>2560601</v>
      </c>
      <c r="K91" s="114">
        <f>K69+K72+K76+K80+K83+K87+K90+K65</f>
        <v>24183836</v>
      </c>
      <c r="L91" s="114">
        <f>L69+L72+L76+L80+L83+L87+L90+L65</f>
        <v>6997836</v>
      </c>
      <c r="M91" s="114">
        <f t="shared" ref="M91" si="14">M69+M72+M76+M80+M83+M87+M90</f>
        <v>0</v>
      </c>
    </row>
    <row r="92" spans="1:13" x14ac:dyDescent="0.25">
      <c r="A92" s="109" t="s">
        <v>162</v>
      </c>
      <c r="B92" s="325" t="s">
        <v>163</v>
      </c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7"/>
    </row>
    <row r="93" spans="1:13" ht="12.95" customHeight="1" x14ac:dyDescent="0.25">
      <c r="A93" s="110" t="s">
        <v>164</v>
      </c>
      <c r="B93" s="329" t="s">
        <v>165</v>
      </c>
      <c r="C93" s="330"/>
      <c r="D93" s="330"/>
      <c r="E93" s="330"/>
      <c r="F93" s="330"/>
      <c r="G93" s="330"/>
      <c r="H93" s="330"/>
      <c r="I93" s="330"/>
      <c r="J93" s="330"/>
      <c r="K93" s="330"/>
      <c r="L93" s="330"/>
      <c r="M93" s="330"/>
    </row>
    <row r="94" spans="1:13" x14ac:dyDescent="0.25">
      <c r="A94" s="111" t="s">
        <v>166</v>
      </c>
      <c r="B94" s="112" t="s">
        <v>167</v>
      </c>
      <c r="C94" s="111"/>
      <c r="D94" s="111"/>
      <c r="E94" s="113">
        <v>1400000</v>
      </c>
      <c r="F94" s="113">
        <v>0</v>
      </c>
      <c r="G94" s="113">
        <v>0</v>
      </c>
      <c r="H94" s="113">
        <v>1400000</v>
      </c>
      <c r="I94" s="113">
        <f>ROUND(1379627.24,0)</f>
        <v>1379627</v>
      </c>
      <c r="J94" s="113">
        <f t="shared" ref="J94:J102" si="15">K94-I94</f>
        <v>2143</v>
      </c>
      <c r="K94" s="116">
        <f>ROUND(1381770.29,0)</f>
        <v>1381770</v>
      </c>
      <c r="L94" s="113">
        <v>0</v>
      </c>
      <c r="M94" s="113">
        <f t="shared" ref="M94:M102" si="16">K94-H94</f>
        <v>-18230</v>
      </c>
    </row>
    <row r="95" spans="1:13" x14ac:dyDescent="0.25">
      <c r="A95" s="111" t="s">
        <v>168</v>
      </c>
      <c r="B95" s="112" t="s">
        <v>169</v>
      </c>
      <c r="C95" s="111"/>
      <c r="D95" s="111"/>
      <c r="E95" s="113">
        <v>350000</v>
      </c>
      <c r="F95" s="113">
        <v>70000</v>
      </c>
      <c r="G95" s="113">
        <v>0</v>
      </c>
      <c r="H95" s="113">
        <v>420000</v>
      </c>
      <c r="I95" s="113">
        <f>ROUND(389083.27,0)</f>
        <v>389083</v>
      </c>
      <c r="J95" s="113">
        <f t="shared" si="15"/>
        <v>51</v>
      </c>
      <c r="K95" s="116">
        <f>ROUND(389134.27,0)</f>
        <v>389134</v>
      </c>
      <c r="L95" s="113">
        <v>0</v>
      </c>
      <c r="M95" s="113">
        <f t="shared" si="16"/>
        <v>-30866</v>
      </c>
    </row>
    <row r="96" spans="1:13" x14ac:dyDescent="0.25">
      <c r="A96" s="111" t="s">
        <v>170</v>
      </c>
      <c r="B96" s="112" t="s">
        <v>171</v>
      </c>
      <c r="C96" s="111"/>
      <c r="D96" s="111"/>
      <c r="E96" s="113">
        <v>5000</v>
      </c>
      <c r="F96" s="113">
        <v>0</v>
      </c>
      <c r="G96" s="113">
        <v>0</v>
      </c>
      <c r="H96" s="113">
        <v>5000</v>
      </c>
      <c r="I96" s="113">
        <f>ROUND(3510.15,0)</f>
        <v>3510</v>
      </c>
      <c r="J96" s="113">
        <f t="shared" si="15"/>
        <v>0</v>
      </c>
      <c r="K96" s="116">
        <f>ROUND(3510.15,0)</f>
        <v>3510</v>
      </c>
      <c r="L96" s="113">
        <v>0</v>
      </c>
      <c r="M96" s="113">
        <f t="shared" si="16"/>
        <v>-1490</v>
      </c>
    </row>
    <row r="97" spans="1:13" x14ac:dyDescent="0.25">
      <c r="A97" s="111" t="s">
        <v>172</v>
      </c>
      <c r="B97" s="112" t="s">
        <v>173</v>
      </c>
      <c r="C97" s="111"/>
      <c r="D97" s="111"/>
      <c r="E97" s="113">
        <v>0</v>
      </c>
      <c r="F97" s="113">
        <v>0</v>
      </c>
      <c r="G97" s="113">
        <v>0</v>
      </c>
      <c r="H97" s="113">
        <v>0</v>
      </c>
      <c r="I97" s="113">
        <v>0</v>
      </c>
      <c r="J97" s="113">
        <f t="shared" si="15"/>
        <v>0</v>
      </c>
      <c r="K97" s="116">
        <v>0</v>
      </c>
      <c r="L97" s="113">
        <v>0</v>
      </c>
      <c r="M97" s="113">
        <f t="shared" si="16"/>
        <v>0</v>
      </c>
    </row>
    <row r="98" spans="1:13" x14ac:dyDescent="0.25">
      <c r="A98" s="111" t="s">
        <v>174</v>
      </c>
      <c r="B98" s="112" t="s">
        <v>175</v>
      </c>
      <c r="C98" s="111"/>
      <c r="D98" s="111"/>
      <c r="E98" s="113">
        <v>0</v>
      </c>
      <c r="F98" s="113">
        <v>0</v>
      </c>
      <c r="G98" s="113">
        <v>0</v>
      </c>
      <c r="H98" s="113">
        <v>0</v>
      </c>
      <c r="I98" s="113">
        <v>0</v>
      </c>
      <c r="J98" s="113">
        <f t="shared" si="15"/>
        <v>0</v>
      </c>
      <c r="K98" s="116">
        <v>0</v>
      </c>
      <c r="L98" s="113">
        <v>0</v>
      </c>
      <c r="M98" s="113">
        <f t="shared" si="16"/>
        <v>0</v>
      </c>
    </row>
    <row r="99" spans="1:13" x14ac:dyDescent="0.25">
      <c r="A99" s="111" t="s">
        <v>176</v>
      </c>
      <c r="B99" s="112" t="s">
        <v>177</v>
      </c>
      <c r="C99" s="111"/>
      <c r="D99" s="111"/>
      <c r="E99" s="113">
        <v>40000</v>
      </c>
      <c r="F99" s="113">
        <v>0</v>
      </c>
      <c r="G99" s="113">
        <v>0</v>
      </c>
      <c r="H99" s="113">
        <v>40000</v>
      </c>
      <c r="I99" s="113">
        <f>ROUND(7046.48,0)</f>
        <v>7046</v>
      </c>
      <c r="J99" s="113">
        <f t="shared" si="15"/>
        <v>11817</v>
      </c>
      <c r="K99" s="116">
        <f>ROUND(18862.93,0)</f>
        <v>18863</v>
      </c>
      <c r="L99" s="113">
        <v>0</v>
      </c>
      <c r="M99" s="113">
        <f t="shared" si="16"/>
        <v>-21137</v>
      </c>
    </row>
    <row r="100" spans="1:13" x14ac:dyDescent="0.25">
      <c r="A100" s="111" t="s">
        <v>178</v>
      </c>
      <c r="B100" s="112" t="s">
        <v>179</v>
      </c>
      <c r="C100" s="111"/>
      <c r="D100" s="111"/>
      <c r="E100" s="113">
        <v>20000</v>
      </c>
      <c r="F100" s="113">
        <v>10000</v>
      </c>
      <c r="G100" s="113">
        <v>0</v>
      </c>
      <c r="H100" s="113">
        <v>30000</v>
      </c>
      <c r="I100" s="113">
        <f>ROUND(27623.1,0)</f>
        <v>27623</v>
      </c>
      <c r="J100" s="113">
        <f t="shared" si="15"/>
        <v>0</v>
      </c>
      <c r="K100" s="116">
        <f>ROUND(27623.1,0)</f>
        <v>27623</v>
      </c>
      <c r="L100" s="113">
        <v>0</v>
      </c>
      <c r="M100" s="113">
        <f t="shared" si="16"/>
        <v>-2377</v>
      </c>
    </row>
    <row r="101" spans="1:13" x14ac:dyDescent="0.25">
      <c r="A101" s="111" t="s">
        <v>180</v>
      </c>
      <c r="B101" s="112" t="s">
        <v>181</v>
      </c>
      <c r="C101" s="111"/>
      <c r="D101" s="111"/>
      <c r="E101" s="113">
        <v>22500</v>
      </c>
      <c r="F101" s="113">
        <v>0</v>
      </c>
      <c r="G101" s="113">
        <v>0</v>
      </c>
      <c r="H101" s="113">
        <v>22500</v>
      </c>
      <c r="I101" s="113">
        <v>20000</v>
      </c>
      <c r="J101" s="113">
        <f t="shared" si="15"/>
        <v>0</v>
      </c>
      <c r="K101" s="116">
        <v>20000</v>
      </c>
      <c r="L101" s="113">
        <v>0</v>
      </c>
      <c r="M101" s="113">
        <f t="shared" si="16"/>
        <v>-2500</v>
      </c>
    </row>
    <row r="102" spans="1:13" x14ac:dyDescent="0.25">
      <c r="A102" s="111" t="s">
        <v>182</v>
      </c>
      <c r="B102" s="112" t="s">
        <v>183</v>
      </c>
      <c r="C102" s="111"/>
      <c r="D102" s="111"/>
      <c r="E102" s="113">
        <v>1000000</v>
      </c>
      <c r="F102" s="113">
        <v>0</v>
      </c>
      <c r="G102" s="113">
        <v>80000</v>
      </c>
      <c r="H102" s="113">
        <v>920000</v>
      </c>
      <c r="I102" s="113">
        <f>ROUND(753825.07,0)</f>
        <v>753825</v>
      </c>
      <c r="J102" s="113">
        <f t="shared" si="15"/>
        <v>18406</v>
      </c>
      <c r="K102" s="116">
        <f>ROUND(772230.52,0)</f>
        <v>772231</v>
      </c>
      <c r="L102" s="113">
        <v>0</v>
      </c>
      <c r="M102" s="113">
        <f t="shared" si="16"/>
        <v>-147769</v>
      </c>
    </row>
    <row r="103" spans="1:13" x14ac:dyDescent="0.25">
      <c r="A103" s="328" t="s">
        <v>184</v>
      </c>
      <c r="B103" s="328"/>
      <c r="C103" s="328"/>
      <c r="D103" s="328"/>
      <c r="E103" s="114">
        <v>2837500</v>
      </c>
      <c r="F103" s="114">
        <v>80000</v>
      </c>
      <c r="G103" s="114">
        <v>80000</v>
      </c>
      <c r="H103" s="114">
        <v>2837500</v>
      </c>
      <c r="I103" s="114">
        <f>SUM(I94:I102)</f>
        <v>2580714</v>
      </c>
      <c r="J103" s="114">
        <f t="shared" ref="J103:K103" si="17">SUM(J94:J102)</f>
        <v>32417</v>
      </c>
      <c r="K103" s="114">
        <f t="shared" si="17"/>
        <v>2613131</v>
      </c>
      <c r="L103" s="114">
        <v>0</v>
      </c>
      <c r="M103" s="114">
        <f>SUM(M94:M102)</f>
        <v>-224369</v>
      </c>
    </row>
    <row r="104" spans="1:13" x14ac:dyDescent="0.25">
      <c r="A104" s="328" t="s">
        <v>185</v>
      </c>
      <c r="B104" s="328"/>
      <c r="C104" s="328"/>
      <c r="D104" s="328"/>
      <c r="E104" s="114">
        <v>2837500</v>
      </c>
      <c r="F104" s="114">
        <v>80000</v>
      </c>
      <c r="G104" s="114">
        <v>80000</v>
      </c>
      <c r="H104" s="114">
        <v>2837500</v>
      </c>
      <c r="I104" s="114">
        <f>I103</f>
        <v>2580714</v>
      </c>
      <c r="J104" s="114">
        <f t="shared" ref="J104:K104" si="18">J103</f>
        <v>32417</v>
      </c>
      <c r="K104" s="114">
        <f t="shared" si="18"/>
        <v>2613131</v>
      </c>
      <c r="L104" s="114">
        <v>0</v>
      </c>
      <c r="M104" s="114">
        <f>M103</f>
        <v>-224369</v>
      </c>
    </row>
    <row r="105" spans="1:13" x14ac:dyDescent="0.25">
      <c r="A105" s="109" t="s">
        <v>774</v>
      </c>
      <c r="B105" s="325" t="s">
        <v>775</v>
      </c>
      <c r="C105" s="326"/>
      <c r="D105" s="326"/>
      <c r="E105" s="326"/>
      <c r="F105" s="326"/>
      <c r="G105" s="326"/>
      <c r="H105" s="326"/>
      <c r="I105" s="326"/>
      <c r="J105" s="326"/>
      <c r="K105" s="326"/>
      <c r="L105" s="326"/>
      <c r="M105" s="327"/>
    </row>
    <row r="106" spans="1:13" x14ac:dyDescent="0.25">
      <c r="A106" s="328" t="s">
        <v>776</v>
      </c>
      <c r="B106" s="328"/>
      <c r="C106" s="328"/>
      <c r="D106" s="328"/>
      <c r="E106" s="114">
        <v>0</v>
      </c>
      <c r="F106" s="114">
        <v>0</v>
      </c>
      <c r="G106" s="114">
        <v>0</v>
      </c>
      <c r="H106" s="114">
        <v>0</v>
      </c>
      <c r="I106" s="114">
        <v>0</v>
      </c>
      <c r="J106" s="114">
        <v>0</v>
      </c>
      <c r="K106" s="114">
        <v>0</v>
      </c>
      <c r="L106" s="114">
        <v>0</v>
      </c>
      <c r="M106" s="114">
        <v>0</v>
      </c>
    </row>
    <row r="107" spans="1:13" x14ac:dyDescent="0.25">
      <c r="A107" s="109" t="s">
        <v>777</v>
      </c>
      <c r="B107" s="325" t="s">
        <v>778</v>
      </c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327"/>
    </row>
    <row r="108" spans="1:13" x14ac:dyDescent="0.25">
      <c r="A108" s="111"/>
      <c r="B108" s="345"/>
      <c r="C108" s="345"/>
      <c r="D108" s="345"/>
      <c r="E108" s="113">
        <v>0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</row>
    <row r="109" spans="1:13" x14ac:dyDescent="0.25">
      <c r="A109" s="328" t="s">
        <v>779</v>
      </c>
      <c r="B109" s="346"/>
      <c r="C109" s="346"/>
      <c r="D109" s="346"/>
      <c r="E109" s="114">
        <v>0</v>
      </c>
      <c r="F109" s="114">
        <v>0</v>
      </c>
      <c r="G109" s="114">
        <v>0</v>
      </c>
      <c r="H109" s="114">
        <v>0</v>
      </c>
      <c r="I109" s="114">
        <v>0</v>
      </c>
      <c r="J109" s="114">
        <v>0</v>
      </c>
      <c r="K109" s="114">
        <v>0</v>
      </c>
      <c r="L109" s="114">
        <v>0</v>
      </c>
      <c r="M109" s="114">
        <v>0</v>
      </c>
    </row>
    <row r="110" spans="1:13" x14ac:dyDescent="0.25">
      <c r="A110" s="328" t="s">
        <v>780</v>
      </c>
      <c r="B110" s="328"/>
      <c r="C110" s="328"/>
      <c r="D110" s="328"/>
      <c r="E110" s="114">
        <v>0</v>
      </c>
      <c r="F110" s="114">
        <v>0</v>
      </c>
      <c r="G110" s="114">
        <v>0</v>
      </c>
      <c r="H110" s="114">
        <v>0</v>
      </c>
      <c r="I110" s="114">
        <v>0</v>
      </c>
      <c r="J110" s="114">
        <v>0</v>
      </c>
      <c r="K110" s="114">
        <v>0</v>
      </c>
      <c r="L110" s="114">
        <v>0</v>
      </c>
      <c r="M110" s="114">
        <v>0</v>
      </c>
    </row>
    <row r="111" spans="1:13" x14ac:dyDescent="0.25">
      <c r="A111" s="328" t="s">
        <v>186</v>
      </c>
      <c r="B111" s="328"/>
      <c r="C111" s="328"/>
      <c r="D111" s="328"/>
      <c r="E111" s="114">
        <v>38559011</v>
      </c>
      <c r="F111" s="114">
        <v>1671000</v>
      </c>
      <c r="G111" s="114">
        <v>80000</v>
      </c>
      <c r="H111" s="114">
        <v>40150011</v>
      </c>
      <c r="I111" s="114">
        <f>I104+I91+I49</f>
        <v>47543635</v>
      </c>
      <c r="J111" s="114">
        <f t="shared" ref="J111:M111" si="19">J104+J91+J49</f>
        <v>7085596</v>
      </c>
      <c r="K111" s="114">
        <f t="shared" si="19"/>
        <v>54629231</v>
      </c>
      <c r="L111" s="114">
        <f t="shared" si="19"/>
        <v>17140287</v>
      </c>
      <c r="M111" s="114">
        <f t="shared" si="19"/>
        <v>-2661067</v>
      </c>
    </row>
  </sheetData>
  <mergeCells count="66">
    <mergeCell ref="A111:D111"/>
    <mergeCell ref="A106:D106"/>
    <mergeCell ref="B107:M107"/>
    <mergeCell ref="B108:D108"/>
    <mergeCell ref="A109:D109"/>
    <mergeCell ref="A110:D110"/>
    <mergeCell ref="A1:M1"/>
    <mergeCell ref="A2:M2"/>
    <mergeCell ref="A3:M3"/>
    <mergeCell ref="A4:M4"/>
    <mergeCell ref="A5:D5"/>
    <mergeCell ref="E5:M5"/>
    <mergeCell ref="A18:D18"/>
    <mergeCell ref="A6:D6"/>
    <mergeCell ref="E6:H6"/>
    <mergeCell ref="I6:K6"/>
    <mergeCell ref="L6:M6"/>
    <mergeCell ref="B7:D7"/>
    <mergeCell ref="B8:M8"/>
    <mergeCell ref="B9:M9"/>
    <mergeCell ref="A11:D11"/>
    <mergeCell ref="B12:M12"/>
    <mergeCell ref="A14:D14"/>
    <mergeCell ref="B15:M15"/>
    <mergeCell ref="A48:D48"/>
    <mergeCell ref="B19:M19"/>
    <mergeCell ref="A23:D23"/>
    <mergeCell ref="B24:M24"/>
    <mergeCell ref="A31:D31"/>
    <mergeCell ref="B32:M32"/>
    <mergeCell ref="A34:D34"/>
    <mergeCell ref="B35:M35"/>
    <mergeCell ref="A40:D40"/>
    <mergeCell ref="B41:M41"/>
    <mergeCell ref="A44:D44"/>
    <mergeCell ref="B45:M45"/>
    <mergeCell ref="A69:D69"/>
    <mergeCell ref="A49:D49"/>
    <mergeCell ref="B50:M50"/>
    <mergeCell ref="B51:M51"/>
    <mergeCell ref="A54:D54"/>
    <mergeCell ref="B55:M55"/>
    <mergeCell ref="A58:D58"/>
    <mergeCell ref="B59:M59"/>
    <mergeCell ref="A61:D61"/>
    <mergeCell ref="B62:M62"/>
    <mergeCell ref="A65:D65"/>
    <mergeCell ref="B66:M66"/>
    <mergeCell ref="A90:D90"/>
    <mergeCell ref="B70:M70"/>
    <mergeCell ref="A72:D72"/>
    <mergeCell ref="B73:M73"/>
    <mergeCell ref="A76:D76"/>
    <mergeCell ref="B77:M77"/>
    <mergeCell ref="A80:D80"/>
    <mergeCell ref="B81:M81"/>
    <mergeCell ref="A83:D83"/>
    <mergeCell ref="B84:M84"/>
    <mergeCell ref="A87:D87"/>
    <mergeCell ref="B88:M88"/>
    <mergeCell ref="B105:M105"/>
    <mergeCell ref="A91:D91"/>
    <mergeCell ref="B92:M92"/>
    <mergeCell ref="B93:M93"/>
    <mergeCell ref="A103:D103"/>
    <mergeCell ref="A104:D104"/>
  </mergeCells>
  <pageMargins left="0.34722222222222221" right="0.34722222222222221" top="0.34722222222222221" bottom="0.34722222222222221" header="0.27777777777777779" footer="0.1388888888888889"/>
  <pageSetup paperSize="9" scale="70" orientation="landscape" r:id="rId1"/>
  <headerFoot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9"/>
  <sheetViews>
    <sheetView workbookViewId="0">
      <selection activeCell="E49" sqref="E49:F49"/>
    </sheetView>
  </sheetViews>
  <sheetFormatPr defaultColWidth="9.140625" defaultRowHeight="12.75" x14ac:dyDescent="0.25"/>
  <cols>
    <col min="1" max="1" width="9.7109375" style="2" customWidth="1"/>
    <col min="2" max="2" width="43.7109375" style="2" customWidth="1"/>
    <col min="3" max="4" width="0" style="2" hidden="1" customWidth="1"/>
    <col min="5" max="14" width="12.7109375" style="2" customWidth="1"/>
    <col min="15" max="15" width="0" style="2" hidden="1" customWidth="1"/>
    <col min="16" max="16" width="12.7109375" style="2" customWidth="1"/>
    <col min="17" max="17" width="0" style="2" hidden="1" customWidth="1"/>
    <col min="18" max="18" width="12.28515625" style="2" hidden="1" customWidth="1"/>
    <col min="19" max="16384" width="9.140625" style="2"/>
  </cols>
  <sheetData>
    <row r="1" spans="1:16" s="1" customFormat="1" ht="18.75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6" s="1" customFormat="1" ht="15" x14ac:dyDescent="0.25">
      <c r="A2" s="339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s="1" customFormat="1" ht="15" x14ac:dyDescent="0.25">
      <c r="A3" s="340" t="s">
        <v>781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s="1" customFormat="1" ht="15" x14ac:dyDescent="0.25">
      <c r="A4" s="339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</row>
    <row r="5" spans="1:16" s="1" customFormat="1" ht="15" x14ac:dyDescent="0.25">
      <c r="A5" s="342" t="s">
        <v>2</v>
      </c>
      <c r="B5" s="343"/>
      <c r="C5" s="343"/>
      <c r="D5" s="344"/>
      <c r="E5" s="332" t="s">
        <v>187</v>
      </c>
      <c r="F5" s="343"/>
      <c r="G5" s="343"/>
      <c r="H5" s="343"/>
      <c r="I5" s="343"/>
      <c r="J5" s="344"/>
      <c r="K5" s="332" t="s">
        <v>188</v>
      </c>
      <c r="L5" s="343"/>
      <c r="M5" s="343"/>
      <c r="N5" s="344"/>
      <c r="O5" s="360"/>
      <c r="P5" s="361"/>
    </row>
    <row r="6" spans="1:16" s="1" customFormat="1" ht="14.45" customHeight="1" x14ac:dyDescent="0.25">
      <c r="A6" s="331"/>
      <c r="B6" s="332"/>
      <c r="C6" s="332"/>
      <c r="D6" s="332"/>
      <c r="E6" s="331"/>
      <c r="F6" s="343"/>
      <c r="G6" s="343"/>
      <c r="H6" s="343"/>
      <c r="I6" s="333" t="s">
        <v>189</v>
      </c>
      <c r="J6" s="344"/>
      <c r="K6" s="356"/>
      <c r="L6" s="343"/>
      <c r="M6" s="335" t="s">
        <v>190</v>
      </c>
      <c r="N6" s="357"/>
      <c r="O6" s="358"/>
      <c r="P6" s="359"/>
    </row>
    <row r="7" spans="1:16" ht="25.5" x14ac:dyDescent="0.25">
      <c r="A7" s="107" t="s">
        <v>7</v>
      </c>
      <c r="B7" s="107" t="s">
        <v>8</v>
      </c>
      <c r="C7" s="107"/>
      <c r="D7" s="107"/>
      <c r="E7" s="108" t="s">
        <v>191</v>
      </c>
      <c r="F7" s="107" t="s">
        <v>13</v>
      </c>
      <c r="G7" s="108" t="s">
        <v>14</v>
      </c>
      <c r="H7" s="107" t="s">
        <v>192</v>
      </c>
      <c r="I7" s="108" t="s">
        <v>193</v>
      </c>
      <c r="J7" s="108" t="s">
        <v>194</v>
      </c>
      <c r="K7" s="108" t="s">
        <v>12</v>
      </c>
      <c r="L7" s="107" t="s">
        <v>13</v>
      </c>
      <c r="M7" s="108" t="s">
        <v>195</v>
      </c>
      <c r="N7" s="108" t="s">
        <v>196</v>
      </c>
      <c r="O7" s="335" t="s">
        <v>197</v>
      </c>
      <c r="P7" s="355"/>
    </row>
    <row r="8" spans="1:16" x14ac:dyDescent="0.25">
      <c r="A8" s="109" t="s">
        <v>18</v>
      </c>
      <c r="B8" s="352" t="s">
        <v>19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</row>
    <row r="9" spans="1:16" ht="12.95" customHeight="1" x14ac:dyDescent="0.25">
      <c r="A9" s="110" t="s">
        <v>20</v>
      </c>
      <c r="B9" s="329" t="s">
        <v>21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</row>
    <row r="10" spans="1:16" x14ac:dyDescent="0.25">
      <c r="A10" s="111" t="s">
        <v>22</v>
      </c>
      <c r="B10" s="112" t="s">
        <v>23</v>
      </c>
      <c r="C10" s="111"/>
      <c r="D10" s="111"/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348">
        <v>0</v>
      </c>
      <c r="P10" s="349"/>
    </row>
    <row r="11" spans="1:16" x14ac:dyDescent="0.25">
      <c r="A11" s="328" t="s">
        <v>24</v>
      </c>
      <c r="B11" s="328"/>
      <c r="C11" s="328"/>
      <c r="D11" s="328"/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350">
        <v>0</v>
      </c>
      <c r="P11" s="351"/>
    </row>
    <row r="12" spans="1:16" ht="12.95" customHeight="1" x14ac:dyDescent="0.25">
      <c r="A12" s="110" t="s">
        <v>25</v>
      </c>
      <c r="B12" s="329" t="s">
        <v>26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</row>
    <row r="13" spans="1:16" x14ac:dyDescent="0.25">
      <c r="A13" s="111" t="s">
        <v>27</v>
      </c>
      <c r="B13" s="112" t="s">
        <v>28</v>
      </c>
      <c r="C13" s="111"/>
      <c r="D13" s="111"/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348">
        <v>0</v>
      </c>
      <c r="P13" s="349"/>
    </row>
    <row r="14" spans="1:16" x14ac:dyDescent="0.25">
      <c r="A14" s="328" t="s">
        <v>29</v>
      </c>
      <c r="B14" s="328"/>
      <c r="C14" s="328"/>
      <c r="D14" s="328"/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350">
        <v>0</v>
      </c>
      <c r="P14" s="351"/>
    </row>
    <row r="15" spans="1:16" ht="12.95" customHeight="1" x14ac:dyDescent="0.25">
      <c r="A15" s="110" t="s">
        <v>30</v>
      </c>
      <c r="B15" s="329" t="s">
        <v>31</v>
      </c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</row>
    <row r="16" spans="1:16" x14ac:dyDescent="0.25">
      <c r="A16" s="111" t="s">
        <v>32</v>
      </c>
      <c r="B16" s="112" t="s">
        <v>33</v>
      </c>
      <c r="C16" s="111"/>
      <c r="D16" s="111"/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348">
        <v>0</v>
      </c>
      <c r="P16" s="349"/>
    </row>
    <row r="17" spans="1:16" x14ac:dyDescent="0.25">
      <c r="A17" s="111" t="s">
        <v>34</v>
      </c>
      <c r="B17" s="112" t="s">
        <v>35</v>
      </c>
      <c r="C17" s="111"/>
      <c r="D17" s="111"/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348">
        <v>0</v>
      </c>
      <c r="P17" s="349"/>
    </row>
    <row r="18" spans="1:16" x14ac:dyDescent="0.25">
      <c r="A18" s="328" t="s">
        <v>36</v>
      </c>
      <c r="B18" s="328"/>
      <c r="C18" s="328"/>
      <c r="D18" s="328"/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350">
        <v>0</v>
      </c>
      <c r="P18" s="351"/>
    </row>
    <row r="19" spans="1:16" ht="12.95" customHeight="1" x14ac:dyDescent="0.25">
      <c r="A19" s="110" t="s">
        <v>37</v>
      </c>
      <c r="B19" s="329" t="s">
        <v>38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</row>
    <row r="20" spans="1:16" x14ac:dyDescent="0.25">
      <c r="A20" s="111" t="s">
        <v>39</v>
      </c>
      <c r="B20" s="112" t="s">
        <v>40</v>
      </c>
      <c r="C20" s="111"/>
      <c r="D20" s="111"/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348">
        <v>0</v>
      </c>
      <c r="P20" s="349"/>
    </row>
    <row r="21" spans="1:16" x14ac:dyDescent="0.25">
      <c r="A21" s="111" t="s">
        <v>41</v>
      </c>
      <c r="B21" s="112" t="s">
        <v>42</v>
      </c>
      <c r="C21" s="111"/>
      <c r="D21" s="111"/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348">
        <v>0</v>
      </c>
      <c r="P21" s="349"/>
    </row>
    <row r="22" spans="1:16" x14ac:dyDescent="0.25">
      <c r="A22" s="111" t="s">
        <v>43</v>
      </c>
      <c r="B22" s="112" t="s">
        <v>44</v>
      </c>
      <c r="C22" s="111"/>
      <c r="D22" s="111"/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f>'[5]Stampa rendiconto PI - ENTRATE'!I22+'[5]Stampa rendiconto PII - ENTRATE'!F22</f>
        <v>6034</v>
      </c>
      <c r="M22" s="113">
        <f>L22-K22</f>
        <v>6034</v>
      </c>
      <c r="N22" s="113">
        <v>0</v>
      </c>
      <c r="O22" s="348">
        <v>0</v>
      </c>
      <c r="P22" s="349"/>
    </row>
    <row r="23" spans="1:16" x14ac:dyDescent="0.25">
      <c r="A23" s="328" t="s">
        <v>45</v>
      </c>
      <c r="B23" s="328"/>
      <c r="C23" s="328"/>
      <c r="D23" s="328"/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f>SUM(L20:L22)</f>
        <v>6034</v>
      </c>
      <c r="M23" s="114">
        <f>SUM(M20:M22)</f>
        <v>6034</v>
      </c>
      <c r="N23" s="114">
        <v>0</v>
      </c>
      <c r="O23" s="350">
        <v>0</v>
      </c>
      <c r="P23" s="351"/>
    </row>
    <row r="24" spans="1:16" x14ac:dyDescent="0.25">
      <c r="A24" s="110" t="s">
        <v>46</v>
      </c>
      <c r="B24" s="329" t="s">
        <v>47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</row>
    <row r="25" spans="1:16" x14ac:dyDescent="0.25">
      <c r="A25" s="111" t="s">
        <v>48</v>
      </c>
      <c r="B25" s="112" t="s">
        <v>49</v>
      </c>
      <c r="C25" s="111"/>
      <c r="D25" s="111"/>
      <c r="E25" s="113">
        <v>804393</v>
      </c>
      <c r="F25" s="113">
        <f>E25</f>
        <v>804393</v>
      </c>
      <c r="G25" s="113">
        <v>0</v>
      </c>
      <c r="H25" s="113">
        <f>E25</f>
        <v>804393</v>
      </c>
      <c r="I25" s="113">
        <v>0</v>
      </c>
      <c r="J25" s="113">
        <v>0</v>
      </c>
      <c r="K25" s="113">
        <f>'[5]Stampa rendiconto PI - ENTRATE'!H25+'[5]Stampa rendiconto PII - ENTRATE'!H25</f>
        <v>14101121</v>
      </c>
      <c r="L25" s="113">
        <f>'[5]Stampa rendiconto PI - ENTRATE'!I25+'[5]Stampa rendiconto PII - ENTRATE'!F25</f>
        <v>11131984</v>
      </c>
      <c r="M25" s="113">
        <v>0</v>
      </c>
      <c r="N25" s="113">
        <f>K25-L25</f>
        <v>2969137</v>
      </c>
      <c r="O25" s="348">
        <f>G25+'[5]Stampa rendiconto PI - ENTRATE'!J25</f>
        <v>562625</v>
      </c>
      <c r="P25" s="349"/>
    </row>
    <row r="26" spans="1:16" ht="25.5" x14ac:dyDescent="0.25">
      <c r="A26" s="111" t="s">
        <v>50</v>
      </c>
      <c r="B26" s="112" t="s">
        <v>51</v>
      </c>
      <c r="C26" s="111"/>
      <c r="D26" s="111"/>
      <c r="E26" s="113">
        <v>0</v>
      </c>
      <c r="F26" s="113">
        <v>0</v>
      </c>
      <c r="G26" s="113">
        <v>0</v>
      </c>
      <c r="H26" s="113">
        <f t="shared" ref="H26:H30" si="0">E26</f>
        <v>0</v>
      </c>
      <c r="I26" s="113">
        <v>0</v>
      </c>
      <c r="J26" s="113">
        <v>0</v>
      </c>
      <c r="K26" s="113">
        <f>'[5]Stampa rendiconto PI - ENTRATE'!H26+'[5]Stampa rendiconto PII - ENTRATE'!H26</f>
        <v>0</v>
      </c>
      <c r="L26" s="113">
        <f>'[5]Stampa rendiconto PI - ENTRATE'!I26+'[5]Stampa rendiconto PII - ENTRATE'!F26</f>
        <v>0</v>
      </c>
      <c r="M26" s="113">
        <v>0</v>
      </c>
      <c r="N26" s="113">
        <f t="shared" ref="N26:N27" si="1">K26-L26</f>
        <v>0</v>
      </c>
      <c r="O26" s="348">
        <f>G26+'[5]Stampa rendiconto PI - ENTRATE'!J26</f>
        <v>0</v>
      </c>
      <c r="P26" s="349"/>
    </row>
    <row r="27" spans="1:16" ht="25.5" x14ac:dyDescent="0.25">
      <c r="A27" s="111" t="s">
        <v>52</v>
      </c>
      <c r="B27" s="112" t="s">
        <v>53</v>
      </c>
      <c r="C27" s="111"/>
      <c r="D27" s="111"/>
      <c r="E27" s="113">
        <v>0</v>
      </c>
      <c r="F27" s="113">
        <v>0</v>
      </c>
      <c r="G27" s="113">
        <v>0</v>
      </c>
      <c r="H27" s="113">
        <f t="shared" si="0"/>
        <v>0</v>
      </c>
      <c r="I27" s="113">
        <v>0</v>
      </c>
      <c r="J27" s="113">
        <v>0</v>
      </c>
      <c r="K27" s="113">
        <f>'[5]Stampa rendiconto PI - ENTRATE'!H27+'[5]Stampa rendiconto PII - ENTRATE'!H27</f>
        <v>0</v>
      </c>
      <c r="L27" s="113">
        <f>'[5]Stampa rendiconto PI - ENTRATE'!I27+'[5]Stampa rendiconto PII - ENTRATE'!F27</f>
        <v>0</v>
      </c>
      <c r="M27" s="113">
        <v>0</v>
      </c>
      <c r="N27" s="113">
        <f t="shared" si="1"/>
        <v>0</v>
      </c>
      <c r="O27" s="348">
        <f>G27+'[5]Stampa rendiconto PI - ENTRATE'!J27</f>
        <v>0</v>
      </c>
      <c r="P27" s="349"/>
    </row>
    <row r="28" spans="1:16" x14ac:dyDescent="0.25">
      <c r="A28" s="111" t="s">
        <v>54</v>
      </c>
      <c r="B28" s="112" t="s">
        <v>55</v>
      </c>
      <c r="C28" s="111"/>
      <c r="D28" s="111"/>
      <c r="E28" s="113">
        <v>272042</v>
      </c>
      <c r="F28" s="113">
        <f>ROUND(272042.46,0)</f>
        <v>272042</v>
      </c>
      <c r="G28" s="113">
        <v>0</v>
      </c>
      <c r="H28" s="113">
        <f t="shared" si="0"/>
        <v>272042</v>
      </c>
      <c r="I28" s="113">
        <v>0</v>
      </c>
      <c r="J28" s="113">
        <v>0</v>
      </c>
      <c r="K28" s="113">
        <f>'[5]Stampa rendiconto PI - ENTRATE'!H28+'[5]Stampa rendiconto PII - ENTRATE'!H28</f>
        <v>4481035</v>
      </c>
      <c r="L28" s="113">
        <f>'[5]Stampa rendiconto PI - ENTRATE'!I28+'[5]Stampa rendiconto PII - ENTRATE'!F28</f>
        <v>5891535</v>
      </c>
      <c r="M28" s="113">
        <f>L28-K28</f>
        <v>1410500</v>
      </c>
      <c r="N28" s="113">
        <v>0</v>
      </c>
      <c r="O28" s="348">
        <f>G28+'[5]Stampa rendiconto PI - ENTRATE'!J28</f>
        <v>254646</v>
      </c>
      <c r="P28" s="349"/>
    </row>
    <row r="29" spans="1:16" ht="25.5" x14ac:dyDescent="0.25">
      <c r="A29" s="111" t="s">
        <v>56</v>
      </c>
      <c r="B29" s="112" t="s">
        <v>57</v>
      </c>
      <c r="C29" s="111"/>
      <c r="D29" s="111"/>
      <c r="E29" s="113">
        <v>0</v>
      </c>
      <c r="F29" s="113">
        <v>0</v>
      </c>
      <c r="G29" s="113">
        <v>0</v>
      </c>
      <c r="H29" s="113">
        <f t="shared" si="0"/>
        <v>0</v>
      </c>
      <c r="I29" s="113">
        <v>0</v>
      </c>
      <c r="J29" s="113">
        <v>0</v>
      </c>
      <c r="K29" s="113">
        <f>'[5]Stampa rendiconto PI - ENTRATE'!H29+'[5]Stampa rendiconto PII - ENTRATE'!H29</f>
        <v>63790</v>
      </c>
      <c r="L29" s="113">
        <f>'[5]Stampa rendiconto PI - ENTRATE'!I29+'[5]Stampa rendiconto PII - ENTRATE'!F29</f>
        <v>52070</v>
      </c>
      <c r="M29" s="113">
        <v>0</v>
      </c>
      <c r="N29" s="113">
        <f>K29-L29</f>
        <v>11720</v>
      </c>
      <c r="O29" s="348">
        <f>G29+'[5]Stampa rendiconto PI - ENTRATE'!J29</f>
        <v>3810</v>
      </c>
      <c r="P29" s="349"/>
    </row>
    <row r="30" spans="1:16" ht="25.5" x14ac:dyDescent="0.25">
      <c r="A30" s="111" t="s">
        <v>58</v>
      </c>
      <c r="B30" s="112" t="s">
        <v>59</v>
      </c>
      <c r="C30" s="111"/>
      <c r="D30" s="111"/>
      <c r="E30" s="113">
        <v>0</v>
      </c>
      <c r="F30" s="113">
        <v>0</v>
      </c>
      <c r="G30" s="113">
        <v>0</v>
      </c>
      <c r="H30" s="113">
        <f t="shared" si="0"/>
        <v>0</v>
      </c>
      <c r="I30" s="113">
        <v>0</v>
      </c>
      <c r="J30" s="113">
        <v>0</v>
      </c>
      <c r="K30" s="113">
        <f>'[5]Stampa rendiconto PI - ENTRATE'!H30+'[5]Stampa rendiconto PII - ENTRATE'!H30</f>
        <v>50000</v>
      </c>
      <c r="L30" s="113">
        <f>'[5]Stampa rendiconto PI - ENTRATE'!I30+'[5]Stampa rendiconto PII - ENTRATE'!F30</f>
        <v>75553</v>
      </c>
      <c r="M30" s="113">
        <f>L30-K30</f>
        <v>25553</v>
      </c>
      <c r="N30" s="113">
        <v>0</v>
      </c>
      <c r="O30" s="348">
        <f>G30+'[5]Stampa rendiconto PI - ENTRATE'!J30</f>
        <v>0</v>
      </c>
      <c r="P30" s="349"/>
    </row>
    <row r="31" spans="1:16" x14ac:dyDescent="0.25">
      <c r="A31" s="328" t="s">
        <v>60</v>
      </c>
      <c r="B31" s="328"/>
      <c r="C31" s="328"/>
      <c r="D31" s="328"/>
      <c r="E31" s="114">
        <f>SUM(E25:E30)</f>
        <v>1076435</v>
      </c>
      <c r="F31" s="114">
        <f>SUM(F25:F30)</f>
        <v>1076435</v>
      </c>
      <c r="G31" s="114">
        <v>0</v>
      </c>
      <c r="H31" s="114">
        <f>SUM(H25:H30)</f>
        <v>1076435</v>
      </c>
      <c r="I31" s="114">
        <v>0</v>
      </c>
      <c r="J31" s="114">
        <v>0</v>
      </c>
      <c r="K31" s="114">
        <f>SUM(K25:K30)</f>
        <v>18695946</v>
      </c>
      <c r="L31" s="114">
        <f t="shared" ref="L31:N31" si="2">SUM(L25:L30)</f>
        <v>17151142</v>
      </c>
      <c r="M31" s="114">
        <f t="shared" si="2"/>
        <v>1436053</v>
      </c>
      <c r="N31" s="114">
        <f t="shared" si="2"/>
        <v>2980857</v>
      </c>
      <c r="O31" s="350">
        <f>SUM(O25:P30)</f>
        <v>821081</v>
      </c>
      <c r="P31" s="351"/>
    </row>
    <row r="32" spans="1:16" ht="12.95" customHeight="1" x14ac:dyDescent="0.25">
      <c r="A32" s="110" t="s">
        <v>61</v>
      </c>
      <c r="B32" s="329" t="s">
        <v>62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</row>
    <row r="33" spans="1:16" ht="25.5" x14ac:dyDescent="0.25">
      <c r="A33" s="111" t="s">
        <v>63</v>
      </c>
      <c r="B33" s="112" t="s">
        <v>64</v>
      </c>
      <c r="C33" s="111"/>
      <c r="D33" s="111"/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f>'[5]Stampa rendiconto PI - ENTRATE'!H33+'[5]Stampa rendiconto PII - ENTRATE'!H33</f>
        <v>0</v>
      </c>
      <c r="L33" s="113">
        <v>0</v>
      </c>
      <c r="M33" s="113">
        <v>0</v>
      </c>
      <c r="N33" s="113">
        <v>0</v>
      </c>
      <c r="O33" s="348">
        <f>G33+'[5]Stampa rendiconto PI - ENTRATE'!J33</f>
        <v>0</v>
      </c>
      <c r="P33" s="349"/>
    </row>
    <row r="34" spans="1:16" x14ac:dyDescent="0.25">
      <c r="A34" s="328" t="s">
        <v>65</v>
      </c>
      <c r="B34" s="328"/>
      <c r="C34" s="328"/>
      <c r="D34" s="328"/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  <c r="N34" s="114">
        <v>0</v>
      </c>
      <c r="O34" s="350">
        <v>0</v>
      </c>
      <c r="P34" s="351"/>
    </row>
    <row r="35" spans="1:16" x14ac:dyDescent="0.25">
      <c r="A35" s="110" t="s">
        <v>66</v>
      </c>
      <c r="B35" s="329" t="s">
        <v>67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</row>
    <row r="36" spans="1:16" ht="25.5" x14ac:dyDescent="0.25">
      <c r="A36" s="111" t="s">
        <v>68</v>
      </c>
      <c r="B36" s="112" t="s">
        <v>69</v>
      </c>
      <c r="C36" s="111"/>
      <c r="D36" s="111"/>
      <c r="E36" s="113">
        <v>1807139</v>
      </c>
      <c r="F36" s="113">
        <f>ROUND(1299470.34,0)</f>
        <v>1299470</v>
      </c>
      <c r="G36" s="113">
        <f>H36-F36</f>
        <v>500745</v>
      </c>
      <c r="H36" s="113">
        <f>E36-J36</f>
        <v>1800215</v>
      </c>
      <c r="I36" s="113">
        <v>0</v>
      </c>
      <c r="J36" s="113">
        <v>6924</v>
      </c>
      <c r="K36" s="113">
        <f>'[5]Stampa rendiconto PI - ENTRATE'!H36+'[5]Stampa rendiconto PII - ENTRATE'!H36</f>
        <v>4067215</v>
      </c>
      <c r="L36" s="113">
        <f>'[5]Stampa rendiconto PI - ENTRATE'!I36+'[5]Stampa rendiconto PII - ENTRATE'!F36</f>
        <v>1924243</v>
      </c>
      <c r="M36" s="113">
        <v>0</v>
      </c>
      <c r="N36" s="113">
        <f t="shared" ref="N36:N39" si="3">K36-L36</f>
        <v>2142972</v>
      </c>
      <c r="O36" s="348">
        <f>G36+'[5]Stampa rendiconto PI - ENTRATE'!J36</f>
        <v>3789635</v>
      </c>
      <c r="P36" s="349"/>
    </row>
    <row r="37" spans="1:16" ht="25.5" x14ac:dyDescent="0.25">
      <c r="A37" s="111" t="s">
        <v>70</v>
      </c>
      <c r="B37" s="112" t="s">
        <v>71</v>
      </c>
      <c r="C37" s="111"/>
      <c r="D37" s="111"/>
      <c r="E37" s="113">
        <v>0</v>
      </c>
      <c r="F37" s="113">
        <v>0</v>
      </c>
      <c r="G37" s="113">
        <f t="shared" ref="G37:G39" si="4">H37-F37</f>
        <v>0</v>
      </c>
      <c r="H37" s="113">
        <f t="shared" ref="H37:H39" si="5">E37</f>
        <v>0</v>
      </c>
      <c r="I37" s="113">
        <v>0</v>
      </c>
      <c r="J37" s="113">
        <v>0</v>
      </c>
      <c r="K37" s="113">
        <f>'[5]Stampa rendiconto PI - ENTRATE'!H37+'[5]Stampa rendiconto PII - ENTRATE'!H37</f>
        <v>0</v>
      </c>
      <c r="L37" s="113">
        <f>'[5]Stampa rendiconto PI - ENTRATE'!I37+'[5]Stampa rendiconto PII - ENTRATE'!F37</f>
        <v>0</v>
      </c>
      <c r="M37" s="113">
        <v>0</v>
      </c>
      <c r="N37" s="113">
        <f t="shared" si="3"/>
        <v>0</v>
      </c>
      <c r="O37" s="348">
        <f>G37+'[5]Stampa rendiconto PI - ENTRATE'!J37</f>
        <v>0</v>
      </c>
      <c r="P37" s="349"/>
    </row>
    <row r="38" spans="1:16" x14ac:dyDescent="0.25">
      <c r="A38" s="111" t="s">
        <v>72</v>
      </c>
      <c r="B38" s="112" t="s">
        <v>73</v>
      </c>
      <c r="C38" s="111"/>
      <c r="D38" s="111"/>
      <c r="E38" s="113">
        <v>5</v>
      </c>
      <c r="F38" s="113">
        <f>ROUND(5.3,0)</f>
        <v>5</v>
      </c>
      <c r="G38" s="113">
        <f t="shared" si="4"/>
        <v>0</v>
      </c>
      <c r="H38" s="113">
        <f t="shared" si="5"/>
        <v>5</v>
      </c>
      <c r="I38" s="113">
        <v>0</v>
      </c>
      <c r="J38" s="113">
        <v>0</v>
      </c>
      <c r="K38" s="113">
        <f>'[5]Stampa rendiconto PI - ENTRATE'!H38+'[5]Stampa rendiconto PII - ENTRATE'!H38</f>
        <v>5005</v>
      </c>
      <c r="L38" s="113">
        <f>'[5]Stampa rendiconto PI - ENTRATE'!I38+'[5]Stampa rendiconto PII - ENTRATE'!F38</f>
        <v>5</v>
      </c>
      <c r="M38" s="113">
        <v>0</v>
      </c>
      <c r="N38" s="113">
        <f t="shared" si="3"/>
        <v>5000</v>
      </c>
      <c r="O38" s="348">
        <f>G38+'[5]Stampa rendiconto PI - ENTRATE'!J38</f>
        <v>0</v>
      </c>
      <c r="P38" s="349"/>
    </row>
    <row r="39" spans="1:16" x14ac:dyDescent="0.25">
      <c r="A39" s="111" t="s">
        <v>74</v>
      </c>
      <c r="B39" s="112" t="s">
        <v>75</v>
      </c>
      <c r="C39" s="111"/>
      <c r="D39" s="111"/>
      <c r="E39" s="113">
        <v>210</v>
      </c>
      <c r="F39" s="113">
        <f>ROUND(4.03,0)</f>
        <v>4</v>
      </c>
      <c r="G39" s="113">
        <f t="shared" si="4"/>
        <v>206</v>
      </c>
      <c r="H39" s="113">
        <f t="shared" si="5"/>
        <v>210</v>
      </c>
      <c r="I39" s="113">
        <v>0</v>
      </c>
      <c r="J39" s="113">
        <v>0</v>
      </c>
      <c r="K39" s="113">
        <f>'[5]Stampa rendiconto PI - ENTRATE'!H39+'[5]Stampa rendiconto PII - ENTRATE'!H39</f>
        <v>210</v>
      </c>
      <c r="L39" s="113">
        <f>'[5]Stampa rendiconto PI - ENTRATE'!I39+'[5]Stampa rendiconto PII - ENTRATE'!F39</f>
        <v>24</v>
      </c>
      <c r="M39" s="113">
        <v>0</v>
      </c>
      <c r="N39" s="113">
        <f t="shared" si="3"/>
        <v>186</v>
      </c>
      <c r="O39" s="348">
        <f>G39+'[5]Stampa rendiconto PI - ENTRATE'!J39</f>
        <v>206</v>
      </c>
      <c r="P39" s="349"/>
    </row>
    <row r="40" spans="1:16" x14ac:dyDescent="0.25">
      <c r="A40" s="328" t="s">
        <v>76</v>
      </c>
      <c r="B40" s="328"/>
      <c r="C40" s="328"/>
      <c r="D40" s="328"/>
      <c r="E40" s="114">
        <f>SUM(E36:E39)</f>
        <v>1807354</v>
      </c>
      <c r="F40" s="114">
        <f>SUM(F36:F39)</f>
        <v>1299479</v>
      </c>
      <c r="G40" s="114">
        <f>SUM(G36:G39)</f>
        <v>500951</v>
      </c>
      <c r="H40" s="114">
        <f>SUM(H36:H39)</f>
        <v>1800430</v>
      </c>
      <c r="I40" s="114">
        <v>0</v>
      </c>
      <c r="J40" s="114">
        <f>SUM(J36:J39)</f>
        <v>6924</v>
      </c>
      <c r="K40" s="114">
        <f>SUM(K36:K39)</f>
        <v>4072430</v>
      </c>
      <c r="L40" s="114">
        <f>SUM(L36:L39)</f>
        <v>1924272</v>
      </c>
      <c r="M40" s="114">
        <v>0</v>
      </c>
      <c r="N40" s="114">
        <f>SUM(N36:N39)</f>
        <v>2148158</v>
      </c>
      <c r="O40" s="350">
        <f>SUM(O36:P39)</f>
        <v>3789841</v>
      </c>
      <c r="P40" s="351"/>
    </row>
    <row r="41" spans="1:16" ht="12.95" customHeight="1" x14ac:dyDescent="0.25">
      <c r="A41" s="110" t="s">
        <v>77</v>
      </c>
      <c r="B41" s="329" t="s">
        <v>78</v>
      </c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</row>
    <row r="42" spans="1:16" x14ac:dyDescent="0.25">
      <c r="A42" s="111" t="s">
        <v>79</v>
      </c>
      <c r="B42" s="112" t="s">
        <v>80</v>
      </c>
      <c r="C42" s="111"/>
      <c r="D42" s="111"/>
      <c r="E42" s="113">
        <v>91123</v>
      </c>
      <c r="F42" s="113">
        <f>ROUND(13432.39,0)</f>
        <v>13432</v>
      </c>
      <c r="G42" s="113">
        <f t="shared" ref="G42:G43" si="6">H42-F42</f>
        <v>77691</v>
      </c>
      <c r="H42" s="113">
        <f>E42</f>
        <v>91123</v>
      </c>
      <c r="I42" s="113">
        <v>0</v>
      </c>
      <c r="J42" s="113">
        <v>0</v>
      </c>
      <c r="K42" s="113">
        <f>'[5]Stampa rendiconto PI - ENTRATE'!H42+'[5]Stampa rendiconto PII - ENTRATE'!H42</f>
        <v>106123</v>
      </c>
      <c r="L42" s="113">
        <f>'[5]Stampa rendiconto PI - ENTRATE'!I42+'[5]Stampa rendiconto PII - ENTRATE'!F42</f>
        <v>57008</v>
      </c>
      <c r="M42" s="113">
        <v>0</v>
      </c>
      <c r="N42" s="113">
        <f t="shared" ref="N42" si="7">K42-L42</f>
        <v>49115</v>
      </c>
      <c r="O42" s="348">
        <f>G42+'[5]Stampa rendiconto PI - ENTRATE'!J42</f>
        <v>460298</v>
      </c>
      <c r="P42" s="349"/>
    </row>
    <row r="43" spans="1:16" ht="38.25" x14ac:dyDescent="0.25">
      <c r="A43" s="111" t="s">
        <v>81</v>
      </c>
      <c r="B43" s="112" t="s">
        <v>82</v>
      </c>
      <c r="C43" s="111"/>
      <c r="D43" s="111"/>
      <c r="E43" s="113">
        <v>0</v>
      </c>
      <c r="F43" s="113">
        <v>0</v>
      </c>
      <c r="G43" s="113">
        <f t="shared" si="6"/>
        <v>0</v>
      </c>
      <c r="H43" s="113">
        <v>0</v>
      </c>
      <c r="I43" s="113">
        <v>0</v>
      </c>
      <c r="J43" s="113">
        <v>0</v>
      </c>
      <c r="K43" s="113">
        <f>'[5]Stampa rendiconto PI - ENTRATE'!H43+'[5]Stampa rendiconto PII - ENTRATE'!H43</f>
        <v>0</v>
      </c>
      <c r="L43" s="113">
        <f>'[5]Stampa rendiconto PI - ENTRATE'!I43+'[5]Stampa rendiconto PII - ENTRATE'!F43</f>
        <v>6355657</v>
      </c>
      <c r="M43" s="113">
        <f>L43-K43</f>
        <v>6355657</v>
      </c>
      <c r="N43" s="113">
        <v>0</v>
      </c>
      <c r="O43" s="348">
        <f>G43+'[5]Stampa rendiconto PI - ENTRATE'!J43</f>
        <v>0</v>
      </c>
      <c r="P43" s="349"/>
    </row>
    <row r="44" spans="1:16" x14ac:dyDescent="0.25">
      <c r="A44" s="328" t="s">
        <v>83</v>
      </c>
      <c r="B44" s="328"/>
      <c r="C44" s="328"/>
      <c r="D44" s="328"/>
      <c r="E44" s="114">
        <f>SUM(E42:E43)</f>
        <v>91123</v>
      </c>
      <c r="F44" s="114">
        <f t="shared" ref="F44:G44" si="8">SUM(F42:F43)</f>
        <v>13432</v>
      </c>
      <c r="G44" s="114">
        <f t="shared" si="8"/>
        <v>77691</v>
      </c>
      <c r="H44" s="114">
        <f>SUM(H42:H43)</f>
        <v>91123</v>
      </c>
      <c r="I44" s="114">
        <v>0</v>
      </c>
      <c r="J44" s="114">
        <v>0</v>
      </c>
      <c r="K44" s="114">
        <f>SUM(K42:K43)</f>
        <v>106123</v>
      </c>
      <c r="L44" s="114">
        <f>SUM(L42:L43)</f>
        <v>6412665</v>
      </c>
      <c r="M44" s="114">
        <v>6355657</v>
      </c>
      <c r="N44" s="114">
        <f>SUM(N42:N43)</f>
        <v>49115</v>
      </c>
      <c r="O44" s="350">
        <f>SUM(O42:P43)</f>
        <v>460298</v>
      </c>
      <c r="P44" s="351"/>
    </row>
    <row r="45" spans="1:16" ht="12.95" customHeight="1" x14ac:dyDescent="0.25">
      <c r="A45" s="110" t="s">
        <v>84</v>
      </c>
      <c r="B45" s="329" t="s">
        <v>85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</row>
    <row r="46" spans="1:16" ht="51" x14ac:dyDescent="0.25">
      <c r="A46" s="111" t="s">
        <v>86</v>
      </c>
      <c r="B46" s="112" t="s">
        <v>87</v>
      </c>
      <c r="C46" s="111"/>
      <c r="D46" s="111"/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f>'[5]Stampa rendiconto PI - ENTRATE'!H46+'[5]Stampa rendiconto PII - ENTRATE'!H46</f>
        <v>35000</v>
      </c>
      <c r="L46" s="113">
        <f>'[5]Stampa rendiconto PI - ENTRATE'!I46+'[5]Stampa rendiconto PII - ENTRATE'!F46</f>
        <v>67195</v>
      </c>
      <c r="M46" s="113">
        <f t="shared" ref="M46" si="9">L46-K46</f>
        <v>32195</v>
      </c>
      <c r="N46" s="113">
        <v>0</v>
      </c>
      <c r="O46" s="348">
        <f>G46+'[5]Stampa rendiconto PI - ENTRATE'!J46</f>
        <v>0</v>
      </c>
      <c r="P46" s="349"/>
    </row>
    <row r="47" spans="1:16" x14ac:dyDescent="0.25">
      <c r="A47" s="111" t="s">
        <v>88</v>
      </c>
      <c r="B47" s="112" t="s">
        <v>89</v>
      </c>
      <c r="C47" s="111"/>
      <c r="D47" s="111"/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f>'[5]Stampa rendiconto PI - ENTRATE'!H47+'[5]Stampa rendiconto PII - ENTRATE'!H47</f>
        <v>185000</v>
      </c>
      <c r="L47" s="113">
        <f>'[5]Stampa rendiconto PI - ENTRATE'!I47+'[5]Stampa rendiconto PII - ENTRATE'!F47</f>
        <v>167724</v>
      </c>
      <c r="M47" s="113">
        <v>0</v>
      </c>
      <c r="N47" s="113">
        <f t="shared" ref="N47" si="10">K47-L47</f>
        <v>17276</v>
      </c>
      <c r="O47" s="348">
        <f>G47+'[5]Stampa rendiconto PI - ENTRATE'!J47</f>
        <v>0</v>
      </c>
      <c r="P47" s="349"/>
    </row>
    <row r="48" spans="1:16" x14ac:dyDescent="0.25">
      <c r="A48" s="328" t="s">
        <v>90</v>
      </c>
      <c r="B48" s="328"/>
      <c r="C48" s="328"/>
      <c r="D48" s="328"/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f>SUM(K46:K47)</f>
        <v>220000</v>
      </c>
      <c r="L48" s="114">
        <f>SUM(L46:L47)</f>
        <v>234919</v>
      </c>
      <c r="M48" s="114">
        <f>SUM(M46:M47)</f>
        <v>32195</v>
      </c>
      <c r="N48" s="114">
        <f>SUM(N46:N47)</f>
        <v>17276</v>
      </c>
      <c r="O48" s="350">
        <v>0</v>
      </c>
      <c r="P48" s="351"/>
    </row>
    <row r="49" spans="1:16" x14ac:dyDescent="0.25">
      <c r="A49" s="328" t="s">
        <v>91</v>
      </c>
      <c r="B49" s="328"/>
      <c r="C49" s="328"/>
      <c r="D49" s="328"/>
      <c r="E49" s="117">
        <f>E31+E40+E44</f>
        <v>2974912</v>
      </c>
      <c r="F49" s="117">
        <f>F31+F40+F44</f>
        <v>2389346</v>
      </c>
      <c r="G49" s="117">
        <f t="shared" ref="G49:J49" si="11">G31+G40+G44</f>
        <v>578642</v>
      </c>
      <c r="H49" s="117">
        <f t="shared" si="11"/>
        <v>2967988</v>
      </c>
      <c r="I49" s="114">
        <v>0</v>
      </c>
      <c r="J49" s="114">
        <f t="shared" si="11"/>
        <v>6924</v>
      </c>
      <c r="K49" s="114">
        <f>K48+K44+K40+K34+K31+K23</f>
        <v>23094499</v>
      </c>
      <c r="L49" s="114">
        <f t="shared" ref="L49:N49" si="12">L48+L44+L40+L34+L31+L23</f>
        <v>25729032</v>
      </c>
      <c r="M49" s="114">
        <f t="shared" si="12"/>
        <v>7829939</v>
      </c>
      <c r="N49" s="114">
        <f t="shared" si="12"/>
        <v>5195406</v>
      </c>
      <c r="O49" s="350">
        <f>O48+O44+O40+O34+O31+O23+O18+O14+O11</f>
        <v>5071220</v>
      </c>
      <c r="P49" s="354"/>
    </row>
    <row r="50" spans="1:16" x14ac:dyDescent="0.25">
      <c r="A50" s="109" t="s">
        <v>92</v>
      </c>
      <c r="B50" s="352" t="s">
        <v>93</v>
      </c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</row>
    <row r="51" spans="1:16" ht="12.95" customHeight="1" x14ac:dyDescent="0.25">
      <c r="A51" s="110" t="s">
        <v>94</v>
      </c>
      <c r="B51" s="329" t="s">
        <v>95</v>
      </c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</row>
    <row r="52" spans="1:16" x14ac:dyDescent="0.25">
      <c r="A52" s="111" t="s">
        <v>96</v>
      </c>
      <c r="B52" s="112" t="s">
        <v>97</v>
      </c>
      <c r="C52" s="111"/>
      <c r="D52" s="111"/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348">
        <v>0</v>
      </c>
      <c r="P52" s="349"/>
    </row>
    <row r="53" spans="1:16" x14ac:dyDescent="0.25">
      <c r="A53" s="111" t="s">
        <v>98</v>
      </c>
      <c r="B53" s="112" t="s">
        <v>99</v>
      </c>
      <c r="C53" s="111"/>
      <c r="D53" s="111"/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348">
        <v>0</v>
      </c>
      <c r="P53" s="349"/>
    </row>
    <row r="54" spans="1:16" x14ac:dyDescent="0.25">
      <c r="A54" s="328" t="s">
        <v>100</v>
      </c>
      <c r="B54" s="328"/>
      <c r="C54" s="328"/>
      <c r="D54" s="328"/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350">
        <v>0</v>
      </c>
      <c r="P54" s="351"/>
    </row>
    <row r="55" spans="1:16" ht="12.95" customHeight="1" x14ac:dyDescent="0.25">
      <c r="A55" s="110" t="s">
        <v>101</v>
      </c>
      <c r="B55" s="329" t="s">
        <v>102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</row>
    <row r="56" spans="1:16" x14ac:dyDescent="0.25">
      <c r="A56" s="111" t="s">
        <v>103</v>
      </c>
      <c r="B56" s="112" t="s">
        <v>104</v>
      </c>
      <c r="C56" s="111"/>
      <c r="D56" s="111"/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348">
        <v>0</v>
      </c>
      <c r="P56" s="349"/>
    </row>
    <row r="57" spans="1:16" x14ac:dyDescent="0.25">
      <c r="A57" s="111" t="s">
        <v>105</v>
      </c>
      <c r="B57" s="112" t="s">
        <v>106</v>
      </c>
      <c r="C57" s="111"/>
      <c r="D57" s="111"/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348">
        <v>0</v>
      </c>
      <c r="P57" s="349"/>
    </row>
    <row r="58" spans="1:16" x14ac:dyDescent="0.25">
      <c r="A58" s="328" t="s">
        <v>107</v>
      </c>
      <c r="B58" s="328"/>
      <c r="C58" s="328"/>
      <c r="D58" s="328"/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350">
        <v>0</v>
      </c>
      <c r="P58" s="351"/>
    </row>
    <row r="59" spans="1:16" x14ac:dyDescent="0.25">
      <c r="A59" s="110" t="s">
        <v>108</v>
      </c>
      <c r="B59" s="329" t="s">
        <v>109</v>
      </c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</row>
    <row r="60" spans="1:16" ht="25.5" x14ac:dyDescent="0.25">
      <c r="A60" s="111" t="s">
        <v>110</v>
      </c>
      <c r="B60" s="112" t="s">
        <v>111</v>
      </c>
      <c r="C60" s="111"/>
      <c r="D60" s="111"/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348">
        <v>0</v>
      </c>
      <c r="P60" s="349"/>
    </row>
    <row r="61" spans="1:16" x14ac:dyDescent="0.25">
      <c r="A61" s="328" t="s">
        <v>112</v>
      </c>
      <c r="B61" s="328"/>
      <c r="C61" s="328"/>
      <c r="D61" s="328"/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350">
        <v>0</v>
      </c>
      <c r="P61" s="351"/>
    </row>
    <row r="62" spans="1:16" x14ac:dyDescent="0.25">
      <c r="A62" s="110" t="s">
        <v>113</v>
      </c>
      <c r="B62" s="329" t="s">
        <v>114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</row>
    <row r="63" spans="1:16" ht="25.5" x14ac:dyDescent="0.25">
      <c r="A63" s="111" t="s">
        <v>115</v>
      </c>
      <c r="B63" s="112" t="s">
        <v>116</v>
      </c>
      <c r="C63" s="111"/>
      <c r="D63" s="111"/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348">
        <v>0</v>
      </c>
      <c r="P63" s="349"/>
    </row>
    <row r="64" spans="1:16" x14ac:dyDescent="0.25">
      <c r="A64" s="111" t="s">
        <v>117</v>
      </c>
      <c r="B64" s="112" t="s">
        <v>118</v>
      </c>
      <c r="C64" s="111"/>
      <c r="D64" s="111"/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f>'[5]Stampa rendiconto PI - ENTRATE'!H64+'[5]Stampa rendiconto PII - ENTRATE'!H64</f>
        <v>0</v>
      </c>
      <c r="L64" s="113">
        <f>'[5]Stampa rendiconto PI - ENTRATE'!I64+'[5]Stampa rendiconto PII - ENTRATE'!F64</f>
        <v>180100</v>
      </c>
      <c r="M64" s="113">
        <f t="shared" ref="M64" si="13">L64-K64</f>
        <v>180100</v>
      </c>
      <c r="N64" s="113">
        <v>0</v>
      </c>
      <c r="O64" s="348">
        <f>G64+'[5]Stampa rendiconto PI - ENTRATE'!J64</f>
        <v>0</v>
      </c>
      <c r="P64" s="349"/>
    </row>
    <row r="65" spans="1:16" x14ac:dyDescent="0.25">
      <c r="A65" s="328" t="s">
        <v>119</v>
      </c>
      <c r="B65" s="328"/>
      <c r="C65" s="328"/>
      <c r="D65" s="328"/>
      <c r="E65" s="114">
        <v>0</v>
      </c>
      <c r="F65" s="114">
        <v>0</v>
      </c>
      <c r="G65" s="114">
        <v>0</v>
      </c>
      <c r="H65" s="114">
        <v>0</v>
      </c>
      <c r="I65" s="114">
        <v>0</v>
      </c>
      <c r="J65" s="114">
        <v>0</v>
      </c>
      <c r="K65" s="114">
        <v>0</v>
      </c>
      <c r="L65" s="114">
        <v>180100</v>
      </c>
      <c r="M65" s="114">
        <v>180100</v>
      </c>
      <c r="N65" s="114">
        <v>0</v>
      </c>
      <c r="O65" s="350">
        <v>0</v>
      </c>
      <c r="P65" s="351"/>
    </row>
    <row r="66" spans="1:16" x14ac:dyDescent="0.25">
      <c r="A66" s="110" t="s">
        <v>120</v>
      </c>
      <c r="B66" s="329" t="s">
        <v>121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</row>
    <row r="67" spans="1:16" ht="25.5" x14ac:dyDescent="0.25">
      <c r="A67" s="111" t="s">
        <v>122</v>
      </c>
      <c r="B67" s="112" t="s">
        <v>123</v>
      </c>
      <c r="C67" s="111"/>
      <c r="D67" s="111"/>
      <c r="E67" s="113">
        <v>79728358</v>
      </c>
      <c r="F67" s="113">
        <f>ROUND(15811406.29,0)</f>
        <v>15811406</v>
      </c>
      <c r="G67" s="113">
        <f>H67-F67</f>
        <v>63916952</v>
      </c>
      <c r="H67" s="113">
        <f>E67</f>
        <v>79728358</v>
      </c>
      <c r="I67" s="113">
        <v>0</v>
      </c>
      <c r="J67" s="113">
        <v>0</v>
      </c>
      <c r="K67" s="113">
        <v>50000000</v>
      </c>
      <c r="L67" s="113">
        <f>'[5]Stampa rendiconto PI - ENTRATE'!I67+'[5]Stampa rendiconto PII - ENTRATE'!F67</f>
        <v>37246672</v>
      </c>
      <c r="M67" s="113">
        <v>0</v>
      </c>
      <c r="N67" s="113">
        <f>K67-L67</f>
        <v>12753328</v>
      </c>
      <c r="O67" s="348">
        <f>G67+'[5]Stampa rendiconto PI - ENTRATE'!J67</f>
        <v>66477553</v>
      </c>
      <c r="P67" s="349"/>
    </row>
    <row r="68" spans="1:16" ht="51" x14ac:dyDescent="0.25">
      <c r="A68" s="111" t="s">
        <v>124</v>
      </c>
      <c r="B68" s="112" t="s">
        <v>125</v>
      </c>
      <c r="C68" s="111"/>
      <c r="D68" s="111"/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348">
        <v>0</v>
      </c>
      <c r="P68" s="349"/>
    </row>
    <row r="69" spans="1:16" x14ac:dyDescent="0.25">
      <c r="A69" s="328" t="s">
        <v>126</v>
      </c>
      <c r="B69" s="328"/>
      <c r="C69" s="328"/>
      <c r="D69" s="328"/>
      <c r="E69" s="114">
        <f>SUM(E67:E68)</f>
        <v>79728358</v>
      </c>
      <c r="F69" s="114">
        <f t="shared" ref="F69:H69" si="14">SUM(F67:F68)</f>
        <v>15811406</v>
      </c>
      <c r="G69" s="114">
        <f t="shared" si="14"/>
        <v>63916952</v>
      </c>
      <c r="H69" s="114">
        <f t="shared" si="14"/>
        <v>79728358</v>
      </c>
      <c r="I69" s="114">
        <v>0</v>
      </c>
      <c r="J69" s="114">
        <v>0</v>
      </c>
      <c r="K69" s="114">
        <f>SUM(K67:K68)</f>
        <v>50000000</v>
      </c>
      <c r="L69" s="114">
        <f t="shared" ref="L69:N69" si="15">SUM(L67:L68)</f>
        <v>37246672</v>
      </c>
      <c r="M69" s="114">
        <f t="shared" si="15"/>
        <v>0</v>
      </c>
      <c r="N69" s="114">
        <f t="shared" si="15"/>
        <v>12753328</v>
      </c>
      <c r="O69" s="350">
        <f>O68+O67</f>
        <v>66477553</v>
      </c>
      <c r="P69" s="351"/>
    </row>
    <row r="70" spans="1:16" x14ac:dyDescent="0.25">
      <c r="A70" s="110" t="s">
        <v>127</v>
      </c>
      <c r="B70" s="329" t="s">
        <v>128</v>
      </c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</row>
    <row r="71" spans="1:16" x14ac:dyDescent="0.25">
      <c r="A71" s="111" t="s">
        <v>129</v>
      </c>
      <c r="B71" s="112" t="s">
        <v>28</v>
      </c>
      <c r="C71" s="111"/>
      <c r="D71" s="111"/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  <c r="L71" s="113">
        <v>0</v>
      </c>
      <c r="M71" s="113">
        <v>0</v>
      </c>
      <c r="N71" s="113">
        <v>0</v>
      </c>
      <c r="O71" s="348">
        <v>0</v>
      </c>
      <c r="P71" s="349"/>
    </row>
    <row r="72" spans="1:16" x14ac:dyDescent="0.25">
      <c r="A72" s="328" t="s">
        <v>130</v>
      </c>
      <c r="B72" s="328"/>
      <c r="C72" s="328"/>
      <c r="D72" s="328"/>
      <c r="E72" s="114">
        <v>0</v>
      </c>
      <c r="F72" s="114">
        <v>0</v>
      </c>
      <c r="G72" s="114">
        <v>0</v>
      </c>
      <c r="H72" s="114">
        <v>0</v>
      </c>
      <c r="I72" s="114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350">
        <v>0</v>
      </c>
      <c r="P72" s="351"/>
    </row>
    <row r="73" spans="1:16" ht="12.95" customHeight="1" x14ac:dyDescent="0.25">
      <c r="A73" s="110" t="s">
        <v>131</v>
      </c>
      <c r="B73" s="329" t="s">
        <v>132</v>
      </c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  <c r="N73" s="330"/>
      <c r="O73" s="330"/>
      <c r="P73" s="330"/>
    </row>
    <row r="74" spans="1:16" x14ac:dyDescent="0.25">
      <c r="A74" s="111" t="s">
        <v>133</v>
      </c>
      <c r="B74" s="112" t="s">
        <v>134</v>
      </c>
      <c r="C74" s="111"/>
      <c r="D74" s="111"/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348">
        <v>0</v>
      </c>
      <c r="P74" s="349"/>
    </row>
    <row r="75" spans="1:16" x14ac:dyDescent="0.25">
      <c r="A75" s="111" t="s">
        <v>135</v>
      </c>
      <c r="B75" s="112" t="s">
        <v>136</v>
      </c>
      <c r="C75" s="111"/>
      <c r="D75" s="111"/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348">
        <v>0</v>
      </c>
      <c r="P75" s="349"/>
    </row>
    <row r="76" spans="1:16" x14ac:dyDescent="0.25">
      <c r="A76" s="328" t="s">
        <v>137</v>
      </c>
      <c r="B76" s="328"/>
      <c r="C76" s="328"/>
      <c r="D76" s="328"/>
      <c r="E76" s="114">
        <v>0</v>
      </c>
      <c r="F76" s="114">
        <v>0</v>
      </c>
      <c r="G76" s="114">
        <v>0</v>
      </c>
      <c r="H76" s="114">
        <v>0</v>
      </c>
      <c r="I76" s="114">
        <v>0</v>
      </c>
      <c r="J76" s="114">
        <v>0</v>
      </c>
      <c r="K76" s="114">
        <v>0</v>
      </c>
      <c r="L76" s="114">
        <v>0</v>
      </c>
      <c r="M76" s="114">
        <v>0</v>
      </c>
      <c r="N76" s="114">
        <v>0</v>
      </c>
      <c r="O76" s="350">
        <v>0</v>
      </c>
      <c r="P76" s="351"/>
    </row>
    <row r="77" spans="1:16" ht="12.95" customHeight="1" x14ac:dyDescent="0.25">
      <c r="A77" s="110" t="s">
        <v>138</v>
      </c>
      <c r="B77" s="329" t="s">
        <v>139</v>
      </c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</row>
    <row r="78" spans="1:16" x14ac:dyDescent="0.25">
      <c r="A78" s="111" t="s">
        <v>140</v>
      </c>
      <c r="B78" s="112" t="s">
        <v>141</v>
      </c>
      <c r="C78" s="111"/>
      <c r="D78" s="111"/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  <c r="N78" s="113">
        <v>0</v>
      </c>
      <c r="O78" s="348">
        <v>0</v>
      </c>
      <c r="P78" s="349"/>
    </row>
    <row r="79" spans="1:16" x14ac:dyDescent="0.25">
      <c r="A79" s="111" t="s">
        <v>142</v>
      </c>
      <c r="B79" s="112" t="s">
        <v>44</v>
      </c>
      <c r="C79" s="111"/>
      <c r="D79" s="111"/>
      <c r="E79" s="113">
        <v>4350064</v>
      </c>
      <c r="F79" s="115">
        <f>ROUND(229606.27,0)</f>
        <v>229606</v>
      </c>
      <c r="G79" s="113">
        <f>H79-F79</f>
        <v>4120458</v>
      </c>
      <c r="H79" s="115">
        <f>E79</f>
        <v>4350064</v>
      </c>
      <c r="I79" s="113">
        <v>0</v>
      </c>
      <c r="J79" s="113">
        <v>0</v>
      </c>
      <c r="K79" s="113">
        <f>'[5]Stampa rendiconto PI - ENTRATE'!H79+'[5]Stampa rendiconto PII - ENTRATE'!H79</f>
        <v>4350064</v>
      </c>
      <c r="L79" s="113">
        <f>'[5]Stampa rendiconto PI - ENTRATE'!I79+'[5]Stampa rendiconto PII - ENTRATE'!F79</f>
        <v>229606</v>
      </c>
      <c r="M79" s="113">
        <v>0</v>
      </c>
      <c r="N79" s="113">
        <f>K79-L79</f>
        <v>4120458</v>
      </c>
      <c r="O79" s="348">
        <f>G79+'[5]Stampa rendiconto PI - ENTRATE'!J79</f>
        <v>4120458</v>
      </c>
      <c r="P79" s="349"/>
    </row>
    <row r="80" spans="1:16" x14ac:dyDescent="0.25">
      <c r="A80" s="328" t="s">
        <v>143</v>
      </c>
      <c r="B80" s="328"/>
      <c r="C80" s="328"/>
      <c r="D80" s="328"/>
      <c r="E80" s="114">
        <f>SUM(E78:E79)</f>
        <v>4350064</v>
      </c>
      <c r="F80" s="114">
        <f t="shared" ref="F80:H80" si="16">SUM(F78:F79)</f>
        <v>229606</v>
      </c>
      <c r="G80" s="114">
        <f t="shared" si="16"/>
        <v>4120458</v>
      </c>
      <c r="H80" s="114">
        <f t="shared" si="16"/>
        <v>4350064</v>
      </c>
      <c r="I80" s="114">
        <v>0</v>
      </c>
      <c r="J80" s="114">
        <v>0</v>
      </c>
      <c r="K80" s="114">
        <f>K79</f>
        <v>4350064</v>
      </c>
      <c r="L80" s="114">
        <f t="shared" ref="L80:O80" si="17">L79</f>
        <v>229606</v>
      </c>
      <c r="M80" s="114">
        <f t="shared" si="17"/>
        <v>0</v>
      </c>
      <c r="N80" s="114">
        <f t="shared" si="17"/>
        <v>4120458</v>
      </c>
      <c r="O80" s="114">
        <f t="shared" si="17"/>
        <v>4120458</v>
      </c>
      <c r="P80" s="114">
        <f>SUM(O78:P79)</f>
        <v>4120458</v>
      </c>
    </row>
    <row r="81" spans="1:16" x14ac:dyDescent="0.25">
      <c r="A81" s="110" t="s">
        <v>144</v>
      </c>
      <c r="B81" s="329" t="s">
        <v>145</v>
      </c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</row>
    <row r="82" spans="1:16" x14ac:dyDescent="0.25">
      <c r="A82" s="111" t="s">
        <v>146</v>
      </c>
      <c r="B82" s="112" t="s">
        <v>147</v>
      </c>
      <c r="C82" s="111"/>
      <c r="D82" s="111"/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348">
        <v>0</v>
      </c>
      <c r="P82" s="349"/>
    </row>
    <row r="83" spans="1:16" x14ac:dyDescent="0.25">
      <c r="A83" s="328" t="s">
        <v>148</v>
      </c>
      <c r="B83" s="328"/>
      <c r="C83" s="328"/>
      <c r="D83" s="328"/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350">
        <v>0</v>
      </c>
      <c r="P83" s="351"/>
    </row>
    <row r="84" spans="1:16" ht="12.95" customHeight="1" x14ac:dyDescent="0.25">
      <c r="A84" s="110" t="s">
        <v>149</v>
      </c>
      <c r="B84" s="329" t="s">
        <v>150</v>
      </c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0"/>
    </row>
    <row r="85" spans="1:16" x14ac:dyDescent="0.25">
      <c r="A85" s="111" t="s">
        <v>151</v>
      </c>
      <c r="B85" s="112" t="s">
        <v>152</v>
      </c>
      <c r="C85" s="111"/>
      <c r="D85" s="111"/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13">
        <v>0</v>
      </c>
      <c r="O85" s="348">
        <v>0</v>
      </c>
      <c r="P85" s="349"/>
    </row>
    <row r="86" spans="1:16" x14ac:dyDescent="0.25">
      <c r="A86" s="111" t="s">
        <v>153</v>
      </c>
      <c r="B86" s="112" t="s">
        <v>154</v>
      </c>
      <c r="C86" s="111"/>
      <c r="D86" s="111"/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f>'[5]Stampa rendiconto PI - ENTRATE'!H86+'[5]Stampa rendiconto PII - ENTRATE'!H86</f>
        <v>0</v>
      </c>
      <c r="L86" s="113">
        <f>'[5]Stampa rendiconto PI - ENTRATE'!I86+'[5]Stampa rendiconto PII - ENTRATE'!F86</f>
        <v>7869</v>
      </c>
      <c r="M86" s="113">
        <f>L86-K86</f>
        <v>7869</v>
      </c>
      <c r="N86" s="113">
        <v>0</v>
      </c>
      <c r="O86" s="348">
        <f>G86+'[5]Stampa rendiconto PI - ENTRATE'!J86</f>
        <v>0</v>
      </c>
      <c r="P86" s="349"/>
    </row>
    <row r="87" spans="1:16" x14ac:dyDescent="0.25">
      <c r="A87" s="328" t="s">
        <v>155</v>
      </c>
      <c r="B87" s="328"/>
      <c r="C87" s="328"/>
      <c r="D87" s="328"/>
      <c r="E87" s="114">
        <v>0</v>
      </c>
      <c r="F87" s="114">
        <v>0</v>
      </c>
      <c r="G87" s="114">
        <v>0</v>
      </c>
      <c r="H87" s="114">
        <v>0</v>
      </c>
      <c r="I87" s="114">
        <v>0</v>
      </c>
      <c r="J87" s="114">
        <v>0</v>
      </c>
      <c r="K87" s="114">
        <f>SUM(K85:K86)</f>
        <v>0</v>
      </c>
      <c r="L87" s="114">
        <f t="shared" ref="L87:N87" si="18">SUM(L85:L86)</f>
        <v>7869</v>
      </c>
      <c r="M87" s="114">
        <f t="shared" si="18"/>
        <v>7869</v>
      </c>
      <c r="N87" s="114">
        <f t="shared" si="18"/>
        <v>0</v>
      </c>
      <c r="O87" s="350">
        <v>0</v>
      </c>
      <c r="P87" s="351"/>
    </row>
    <row r="88" spans="1:16" x14ac:dyDescent="0.25">
      <c r="A88" s="110" t="s">
        <v>156</v>
      </c>
      <c r="B88" s="329" t="s">
        <v>157</v>
      </c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30"/>
    </row>
    <row r="89" spans="1:16" x14ac:dyDescent="0.25">
      <c r="A89" s="111" t="s">
        <v>158</v>
      </c>
      <c r="B89" s="112" t="s">
        <v>159</v>
      </c>
      <c r="C89" s="111"/>
      <c r="D89" s="111"/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348">
        <v>0</v>
      </c>
      <c r="P89" s="349"/>
    </row>
    <row r="90" spans="1:16" x14ac:dyDescent="0.25">
      <c r="A90" s="328" t="s">
        <v>160</v>
      </c>
      <c r="B90" s="328"/>
      <c r="C90" s="328"/>
      <c r="D90" s="328"/>
      <c r="E90" s="114">
        <v>0</v>
      </c>
      <c r="F90" s="114">
        <v>0</v>
      </c>
      <c r="G90" s="114">
        <v>0</v>
      </c>
      <c r="H90" s="114">
        <v>0</v>
      </c>
      <c r="I90" s="114">
        <v>0</v>
      </c>
      <c r="J90" s="114">
        <v>0</v>
      </c>
      <c r="K90" s="114">
        <v>0</v>
      </c>
      <c r="L90" s="114">
        <v>0</v>
      </c>
      <c r="M90" s="114">
        <v>0</v>
      </c>
      <c r="N90" s="114">
        <v>0</v>
      </c>
      <c r="O90" s="350">
        <v>0</v>
      </c>
      <c r="P90" s="351"/>
    </row>
    <row r="91" spans="1:16" x14ac:dyDescent="0.25">
      <c r="A91" s="328" t="s">
        <v>161</v>
      </c>
      <c r="B91" s="328"/>
      <c r="C91" s="328"/>
      <c r="D91" s="328"/>
      <c r="E91" s="117">
        <f>E69+E80</f>
        <v>84078422</v>
      </c>
      <c r="F91" s="117">
        <f t="shared" ref="F91:H91" si="19">F69+F80</f>
        <v>16041012</v>
      </c>
      <c r="G91" s="117">
        <f t="shared" si="19"/>
        <v>68037410</v>
      </c>
      <c r="H91" s="117">
        <f t="shared" si="19"/>
        <v>84078422</v>
      </c>
      <c r="I91" s="114">
        <v>0</v>
      </c>
      <c r="J91" s="114">
        <v>0</v>
      </c>
      <c r="K91" s="114">
        <f>K90+K87+K83+K80+K76+K72+K69+K65+K61+K58+K54</f>
        <v>54350064</v>
      </c>
      <c r="L91" s="114">
        <f t="shared" ref="L91:N91" si="20">L90+L87+L83+L80+L76+L72+L69+L65+L61+L58+L54</f>
        <v>37664247</v>
      </c>
      <c r="M91" s="114">
        <f t="shared" si="20"/>
        <v>187969</v>
      </c>
      <c r="N91" s="114">
        <f t="shared" si="20"/>
        <v>16873786</v>
      </c>
      <c r="O91" s="350">
        <f>O69+P80</f>
        <v>70598011</v>
      </c>
      <c r="P91" s="351"/>
    </row>
    <row r="92" spans="1:16" x14ac:dyDescent="0.25">
      <c r="A92" s="109" t="s">
        <v>162</v>
      </c>
      <c r="B92" s="352" t="s">
        <v>163</v>
      </c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</row>
    <row r="93" spans="1:16" ht="12.95" customHeight="1" x14ac:dyDescent="0.25">
      <c r="A93" s="110" t="s">
        <v>164</v>
      </c>
      <c r="B93" s="329" t="s">
        <v>165</v>
      </c>
      <c r="C93" s="330"/>
      <c r="D93" s="330"/>
      <c r="E93" s="330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</row>
    <row r="94" spans="1:16" x14ac:dyDescent="0.25">
      <c r="A94" s="111" t="s">
        <v>166</v>
      </c>
      <c r="B94" s="112" t="s">
        <v>167</v>
      </c>
      <c r="C94" s="111"/>
      <c r="D94" s="111"/>
      <c r="E94" s="113">
        <v>3054</v>
      </c>
      <c r="F94" s="113">
        <v>3054</v>
      </c>
      <c r="G94" s="113">
        <f t="shared" ref="G94:G102" si="21">H94-F94</f>
        <v>0</v>
      </c>
      <c r="H94" s="113">
        <f>E94</f>
        <v>3054</v>
      </c>
      <c r="I94" s="113">
        <v>0</v>
      </c>
      <c r="J94" s="113">
        <v>0</v>
      </c>
      <c r="K94" s="113">
        <f>'[5]Stampa rendiconto PI - ENTRATE'!H94+'[5]Stampa rendiconto PII - ENTRATE'!H94</f>
        <v>1403054</v>
      </c>
      <c r="L94" s="113">
        <f>'[5]Stampa rendiconto PI - ENTRATE'!I94+'[5]Stampa rendiconto PII - ENTRATE'!F94</f>
        <v>1382681</v>
      </c>
      <c r="M94" s="113">
        <v>0</v>
      </c>
      <c r="N94" s="113">
        <f>K94-L94</f>
        <v>20373</v>
      </c>
      <c r="O94" s="348">
        <f>G94+'[5]Stampa rendiconto PI - ENTRATE'!J94</f>
        <v>2143</v>
      </c>
      <c r="P94" s="349"/>
    </row>
    <row r="95" spans="1:16" x14ac:dyDescent="0.25">
      <c r="A95" s="111" t="s">
        <v>168</v>
      </c>
      <c r="B95" s="112" t="s">
        <v>169</v>
      </c>
      <c r="C95" s="111"/>
      <c r="D95" s="111"/>
      <c r="E95" s="113">
        <v>0</v>
      </c>
      <c r="F95" s="113">
        <v>0</v>
      </c>
      <c r="G95" s="113">
        <f t="shared" si="21"/>
        <v>0</v>
      </c>
      <c r="H95" s="113">
        <f t="shared" ref="H95:H102" si="22">E95</f>
        <v>0</v>
      </c>
      <c r="I95" s="113">
        <v>0</v>
      </c>
      <c r="J95" s="113">
        <v>0</v>
      </c>
      <c r="K95" s="113">
        <f>'[5]Stampa rendiconto PI - ENTRATE'!H95+'[5]Stampa rendiconto PII - ENTRATE'!H95</f>
        <v>420000</v>
      </c>
      <c r="L95" s="113">
        <f>'[5]Stampa rendiconto PI - ENTRATE'!I95+'[5]Stampa rendiconto PII - ENTRATE'!F95</f>
        <v>389083</v>
      </c>
      <c r="M95" s="113">
        <v>0</v>
      </c>
      <c r="N95" s="113">
        <f t="shared" ref="N95:N102" si="23">K95-L95</f>
        <v>30917</v>
      </c>
      <c r="O95" s="348">
        <f>G95+'[5]Stampa rendiconto PI - ENTRATE'!J95</f>
        <v>51</v>
      </c>
      <c r="P95" s="349"/>
    </row>
    <row r="96" spans="1:16" x14ac:dyDescent="0.25">
      <c r="A96" s="111" t="s">
        <v>170</v>
      </c>
      <c r="B96" s="112" t="s">
        <v>171</v>
      </c>
      <c r="C96" s="111"/>
      <c r="D96" s="111"/>
      <c r="E96" s="113">
        <v>0</v>
      </c>
      <c r="F96" s="113">
        <v>0</v>
      </c>
      <c r="G96" s="113">
        <f t="shared" si="21"/>
        <v>0</v>
      </c>
      <c r="H96" s="113">
        <f t="shared" si="22"/>
        <v>0</v>
      </c>
      <c r="I96" s="113">
        <v>0</v>
      </c>
      <c r="J96" s="113">
        <v>0</v>
      </c>
      <c r="K96" s="113">
        <f>'[5]Stampa rendiconto PI - ENTRATE'!H96+'[5]Stampa rendiconto PII - ENTRATE'!H96</f>
        <v>5000</v>
      </c>
      <c r="L96" s="113">
        <f>'[5]Stampa rendiconto PI - ENTRATE'!I96+'[5]Stampa rendiconto PII - ENTRATE'!F96</f>
        <v>3510</v>
      </c>
      <c r="M96" s="113">
        <v>0</v>
      </c>
      <c r="N96" s="113">
        <f t="shared" si="23"/>
        <v>1490</v>
      </c>
      <c r="O96" s="348">
        <f>G96+'[5]Stampa rendiconto PI - ENTRATE'!J96</f>
        <v>0</v>
      </c>
      <c r="P96" s="349"/>
    </row>
    <row r="97" spans="1:18" x14ac:dyDescent="0.25">
      <c r="A97" s="111" t="s">
        <v>172</v>
      </c>
      <c r="B97" s="112" t="s">
        <v>173</v>
      </c>
      <c r="C97" s="111"/>
      <c r="D97" s="111"/>
      <c r="E97" s="113">
        <v>0</v>
      </c>
      <c r="F97" s="113">
        <v>0</v>
      </c>
      <c r="G97" s="113">
        <f t="shared" si="21"/>
        <v>0</v>
      </c>
      <c r="H97" s="113">
        <f t="shared" si="22"/>
        <v>0</v>
      </c>
      <c r="I97" s="113">
        <v>0</v>
      </c>
      <c r="J97" s="113">
        <v>0</v>
      </c>
      <c r="K97" s="113">
        <f>'[5]Stampa rendiconto PI - ENTRATE'!H97+'[5]Stampa rendiconto PII - ENTRATE'!H97</f>
        <v>0</v>
      </c>
      <c r="L97" s="113">
        <f>'[5]Stampa rendiconto PI - ENTRATE'!I97+'[5]Stampa rendiconto PII - ENTRATE'!F97</f>
        <v>0</v>
      </c>
      <c r="M97" s="113">
        <v>0</v>
      </c>
      <c r="N97" s="113">
        <f t="shared" si="23"/>
        <v>0</v>
      </c>
      <c r="O97" s="348">
        <f>G97+'[5]Stampa rendiconto PI - ENTRATE'!J97</f>
        <v>0</v>
      </c>
      <c r="P97" s="349"/>
    </row>
    <row r="98" spans="1:18" x14ac:dyDescent="0.25">
      <c r="A98" s="111" t="s">
        <v>174</v>
      </c>
      <c r="B98" s="112" t="s">
        <v>175</v>
      </c>
      <c r="C98" s="111"/>
      <c r="D98" s="111"/>
      <c r="E98" s="113">
        <v>0</v>
      </c>
      <c r="F98" s="113">
        <v>0</v>
      </c>
      <c r="G98" s="113">
        <f t="shared" si="21"/>
        <v>0</v>
      </c>
      <c r="H98" s="113">
        <f t="shared" si="22"/>
        <v>0</v>
      </c>
      <c r="I98" s="113">
        <v>0</v>
      </c>
      <c r="J98" s="113">
        <v>0</v>
      </c>
      <c r="K98" s="113">
        <f>'[5]Stampa rendiconto PI - ENTRATE'!H98+'[5]Stampa rendiconto PII - ENTRATE'!H98</f>
        <v>0</v>
      </c>
      <c r="L98" s="113">
        <f>'[5]Stampa rendiconto PI - ENTRATE'!I98+'[5]Stampa rendiconto PII - ENTRATE'!F98</f>
        <v>0</v>
      </c>
      <c r="M98" s="113">
        <v>0</v>
      </c>
      <c r="N98" s="113">
        <f t="shared" si="23"/>
        <v>0</v>
      </c>
      <c r="O98" s="348">
        <f>G98+'[5]Stampa rendiconto PI - ENTRATE'!J98</f>
        <v>0</v>
      </c>
      <c r="P98" s="349"/>
    </row>
    <row r="99" spans="1:18" x14ac:dyDescent="0.25">
      <c r="A99" s="111" t="s">
        <v>176</v>
      </c>
      <c r="B99" s="112" t="s">
        <v>177</v>
      </c>
      <c r="C99" s="111"/>
      <c r="D99" s="111"/>
      <c r="E99" s="113">
        <v>62792</v>
      </c>
      <c r="F99" s="113">
        <f>ROUND(7724.03,0)</f>
        <v>7724</v>
      </c>
      <c r="G99" s="113">
        <f t="shared" si="21"/>
        <v>43232</v>
      </c>
      <c r="H99" s="113">
        <f>E99-J99</f>
        <v>50956</v>
      </c>
      <c r="I99" s="113">
        <v>0</v>
      </c>
      <c r="J99" s="113">
        <v>11836</v>
      </c>
      <c r="K99" s="113">
        <f>'[5]Stampa rendiconto PI - ENTRATE'!H99+'[5]Stampa rendiconto PII - ENTRATE'!H99</f>
        <v>90956</v>
      </c>
      <c r="L99" s="113">
        <f>'[5]Stampa rendiconto PI - ENTRATE'!I99+'[5]Stampa rendiconto PII - ENTRATE'!F99</f>
        <v>14770</v>
      </c>
      <c r="M99" s="113">
        <v>0</v>
      </c>
      <c r="N99" s="113">
        <f t="shared" si="23"/>
        <v>76186</v>
      </c>
      <c r="O99" s="348">
        <f>G99+'[5]Stampa rendiconto PI - ENTRATE'!J99</f>
        <v>55049</v>
      </c>
      <c r="P99" s="349"/>
      <c r="Q99" s="3"/>
    </row>
    <row r="100" spans="1:18" x14ac:dyDescent="0.25">
      <c r="A100" s="111" t="s">
        <v>178</v>
      </c>
      <c r="B100" s="112" t="s">
        <v>179</v>
      </c>
      <c r="C100" s="111"/>
      <c r="D100" s="111"/>
      <c r="E100" s="113">
        <v>0</v>
      </c>
      <c r="F100" s="113">
        <v>0</v>
      </c>
      <c r="G100" s="113">
        <f t="shared" si="21"/>
        <v>0</v>
      </c>
      <c r="H100" s="113">
        <f t="shared" si="22"/>
        <v>0</v>
      </c>
      <c r="I100" s="113">
        <v>0</v>
      </c>
      <c r="J100" s="113">
        <v>0</v>
      </c>
      <c r="K100" s="113">
        <f>'[5]Stampa rendiconto PI - ENTRATE'!H100+'[5]Stampa rendiconto PII - ENTRATE'!H100</f>
        <v>30000</v>
      </c>
      <c r="L100" s="113">
        <f>'[5]Stampa rendiconto PI - ENTRATE'!I100+'[5]Stampa rendiconto PII - ENTRATE'!F100</f>
        <v>27623</v>
      </c>
      <c r="M100" s="113">
        <v>0</v>
      </c>
      <c r="N100" s="113">
        <f t="shared" si="23"/>
        <v>2377</v>
      </c>
      <c r="O100" s="348">
        <f>G100+'[5]Stampa rendiconto PI - ENTRATE'!J100</f>
        <v>0</v>
      </c>
      <c r="P100" s="349"/>
    </row>
    <row r="101" spans="1:18" x14ac:dyDescent="0.25">
      <c r="A101" s="111" t="s">
        <v>180</v>
      </c>
      <c r="B101" s="112" t="s">
        <v>181</v>
      </c>
      <c r="C101" s="111"/>
      <c r="D101" s="111"/>
      <c r="E101" s="113">
        <v>0</v>
      </c>
      <c r="F101" s="113">
        <v>0</v>
      </c>
      <c r="G101" s="113">
        <f t="shared" si="21"/>
        <v>0</v>
      </c>
      <c r="H101" s="113">
        <f t="shared" si="22"/>
        <v>0</v>
      </c>
      <c r="I101" s="113">
        <v>0</v>
      </c>
      <c r="J101" s="113">
        <v>0</v>
      </c>
      <c r="K101" s="113">
        <f>'[5]Stampa rendiconto PI - ENTRATE'!H101+'[5]Stampa rendiconto PII - ENTRATE'!H101</f>
        <v>22500</v>
      </c>
      <c r="L101" s="113">
        <f>'[5]Stampa rendiconto PI - ENTRATE'!I101+'[5]Stampa rendiconto PII - ENTRATE'!F101</f>
        <v>20000</v>
      </c>
      <c r="M101" s="113">
        <v>0</v>
      </c>
      <c r="N101" s="113">
        <f t="shared" si="23"/>
        <v>2500</v>
      </c>
      <c r="O101" s="348">
        <f>G101+'[5]Stampa rendiconto PI - ENTRATE'!J101</f>
        <v>0</v>
      </c>
      <c r="P101" s="349"/>
    </row>
    <row r="102" spans="1:18" x14ac:dyDescent="0.25">
      <c r="A102" s="111" t="s">
        <v>182</v>
      </c>
      <c r="B102" s="112" t="s">
        <v>183</v>
      </c>
      <c r="C102" s="111"/>
      <c r="D102" s="111"/>
      <c r="E102" s="113">
        <v>30528</v>
      </c>
      <c r="F102" s="113">
        <f>ROUND(22405.4,)</f>
        <v>22405</v>
      </c>
      <c r="G102" s="113">
        <f t="shared" si="21"/>
        <v>8123</v>
      </c>
      <c r="H102" s="113">
        <f t="shared" si="22"/>
        <v>30528</v>
      </c>
      <c r="I102" s="113">
        <v>0</v>
      </c>
      <c r="J102" s="113">
        <v>0</v>
      </c>
      <c r="K102" s="113">
        <f>'[5]Stampa rendiconto PI - ENTRATE'!H102+'[5]Stampa rendiconto PII - ENTRATE'!H102</f>
        <v>950528</v>
      </c>
      <c r="L102" s="113">
        <f>'[5]Stampa rendiconto PI - ENTRATE'!I102+'[5]Stampa rendiconto PII - ENTRATE'!F102</f>
        <v>776230</v>
      </c>
      <c r="M102" s="113">
        <v>0</v>
      </c>
      <c r="N102" s="113">
        <f t="shared" si="23"/>
        <v>174298</v>
      </c>
      <c r="O102" s="348">
        <f>G102+'[5]Stampa rendiconto PI - ENTRATE'!J102</f>
        <v>26529</v>
      </c>
      <c r="P102" s="349"/>
    </row>
    <row r="103" spans="1:18" x14ac:dyDescent="0.25">
      <c r="A103" s="328" t="s">
        <v>184</v>
      </c>
      <c r="B103" s="328"/>
      <c r="C103" s="328"/>
      <c r="D103" s="328"/>
      <c r="E103" s="114">
        <f>SUM(E94:E102)</f>
        <v>96374</v>
      </c>
      <c r="F103" s="114">
        <f>SUM(F94:F102)</f>
        <v>33183</v>
      </c>
      <c r="G103" s="114">
        <f>SUM(G94:G102)</f>
        <v>51355</v>
      </c>
      <c r="H103" s="114">
        <f>SUM(H94:H102)</f>
        <v>84538</v>
      </c>
      <c r="I103" s="114">
        <v>0</v>
      </c>
      <c r="J103" s="114">
        <f>SUM(J94:J102)</f>
        <v>11836</v>
      </c>
      <c r="K103" s="114">
        <f>SUM(K94:K102)</f>
        <v>2922038</v>
      </c>
      <c r="L103" s="114">
        <f t="shared" ref="L103:N103" si="24">SUM(L94:L102)</f>
        <v>2613897</v>
      </c>
      <c r="M103" s="114">
        <f t="shared" si="24"/>
        <v>0</v>
      </c>
      <c r="N103" s="114">
        <f t="shared" si="24"/>
        <v>308141</v>
      </c>
      <c r="O103" s="350">
        <f>SUM(O94:P102)</f>
        <v>83772</v>
      </c>
      <c r="P103" s="351"/>
    </row>
    <row r="104" spans="1:18" x14ac:dyDescent="0.25">
      <c r="A104" s="328" t="s">
        <v>185</v>
      </c>
      <c r="B104" s="328"/>
      <c r="C104" s="328"/>
      <c r="D104" s="328"/>
      <c r="E104" s="117">
        <f>E103</f>
        <v>96374</v>
      </c>
      <c r="F104" s="117">
        <f t="shared" ref="F104:J104" si="25">F103</f>
        <v>33183</v>
      </c>
      <c r="G104" s="117">
        <f t="shared" si="25"/>
        <v>51355</v>
      </c>
      <c r="H104" s="117">
        <f t="shared" si="25"/>
        <v>84538</v>
      </c>
      <c r="I104" s="114">
        <v>0</v>
      </c>
      <c r="J104" s="114">
        <f t="shared" si="25"/>
        <v>11836</v>
      </c>
      <c r="K104" s="114">
        <f>K103</f>
        <v>2922038</v>
      </c>
      <c r="L104" s="114">
        <f t="shared" ref="L104:N104" si="26">L103</f>
        <v>2613897</v>
      </c>
      <c r="M104" s="114">
        <f t="shared" si="26"/>
        <v>0</v>
      </c>
      <c r="N104" s="114">
        <f t="shared" si="26"/>
        <v>308141</v>
      </c>
      <c r="O104" s="350">
        <f>O103</f>
        <v>83772</v>
      </c>
      <c r="P104" s="351"/>
      <c r="Q104" s="3"/>
    </row>
    <row r="105" spans="1:18" x14ac:dyDescent="0.25">
      <c r="A105" s="328" t="s">
        <v>186</v>
      </c>
      <c r="B105" s="328"/>
      <c r="C105" s="328"/>
      <c r="D105" s="328"/>
      <c r="E105" s="254">
        <f>E104+E91+E49</f>
        <v>87149708</v>
      </c>
      <c r="F105" s="254">
        <f t="shared" ref="F105:J105" si="27">F104+F91+F49</f>
        <v>18463541</v>
      </c>
      <c r="G105" s="254">
        <f t="shared" si="27"/>
        <v>68667407</v>
      </c>
      <c r="H105" s="254">
        <f t="shared" si="27"/>
        <v>87130948</v>
      </c>
      <c r="I105" s="254">
        <v>0</v>
      </c>
      <c r="J105" s="254">
        <f t="shared" si="27"/>
        <v>18760</v>
      </c>
      <c r="K105" s="254">
        <f>K104+K91+K49</f>
        <v>80366601</v>
      </c>
      <c r="L105" s="254">
        <f>L104+L91+L49</f>
        <v>66007176</v>
      </c>
      <c r="M105" s="254">
        <f>M104+M91+M49</f>
        <v>8017908</v>
      </c>
      <c r="N105" s="254">
        <f>N104+N91+N49</f>
        <v>22377333</v>
      </c>
      <c r="O105" s="255">
        <f>O104+O91+O49</f>
        <v>75753003</v>
      </c>
      <c r="P105" s="256">
        <f>O91+O49+O104</f>
        <v>75753003</v>
      </c>
      <c r="R105" s="3">
        <f>O105+J105</f>
        <v>75771763</v>
      </c>
    </row>
    <row r="106" spans="1:18" hidden="1" x14ac:dyDescent="0.25"/>
    <row r="107" spans="1:18" hidden="1" x14ac:dyDescent="0.25">
      <c r="L107" s="2" t="s">
        <v>436</v>
      </c>
      <c r="M107" s="347">
        <v>37970033.549999997</v>
      </c>
      <c r="N107" s="347"/>
    </row>
    <row r="108" spans="1:18" hidden="1" x14ac:dyDescent="0.25"/>
    <row r="109" spans="1:18" hidden="1" x14ac:dyDescent="0.25"/>
  </sheetData>
  <mergeCells count="137">
    <mergeCell ref="A6:D6"/>
    <mergeCell ref="E6:H6"/>
    <mergeCell ref="K6:L6"/>
    <mergeCell ref="M6:N6"/>
    <mergeCell ref="O6:P6"/>
    <mergeCell ref="I6:J6"/>
    <mergeCell ref="A1:P1"/>
    <mergeCell ref="A2:P2"/>
    <mergeCell ref="A3:P3"/>
    <mergeCell ref="A4:P4"/>
    <mergeCell ref="A5:D5"/>
    <mergeCell ref="E5:J5"/>
    <mergeCell ref="K5:N5"/>
    <mergeCell ref="O5:P5"/>
    <mergeCell ref="B12:P12"/>
    <mergeCell ref="O13:P13"/>
    <mergeCell ref="A14:D14"/>
    <mergeCell ref="O14:P14"/>
    <mergeCell ref="B15:P15"/>
    <mergeCell ref="O16:P16"/>
    <mergeCell ref="O7:P7"/>
    <mergeCell ref="B8:P8"/>
    <mergeCell ref="B9:P9"/>
    <mergeCell ref="O10:P10"/>
    <mergeCell ref="A11:D11"/>
    <mergeCell ref="O11:P11"/>
    <mergeCell ref="O22:P22"/>
    <mergeCell ref="A23:D23"/>
    <mergeCell ref="O23:P23"/>
    <mergeCell ref="B24:P24"/>
    <mergeCell ref="O25:P25"/>
    <mergeCell ref="O26:P26"/>
    <mergeCell ref="O17:P17"/>
    <mergeCell ref="A18:D18"/>
    <mergeCell ref="O18:P18"/>
    <mergeCell ref="B19:P19"/>
    <mergeCell ref="O20:P20"/>
    <mergeCell ref="O21:P21"/>
    <mergeCell ref="B32:P32"/>
    <mergeCell ref="O33:P33"/>
    <mergeCell ref="A34:D34"/>
    <mergeCell ref="O34:P34"/>
    <mergeCell ref="B35:P35"/>
    <mergeCell ref="O36:P36"/>
    <mergeCell ref="O27:P27"/>
    <mergeCell ref="O28:P28"/>
    <mergeCell ref="O29:P29"/>
    <mergeCell ref="O30:P30"/>
    <mergeCell ref="A31:D31"/>
    <mergeCell ref="O31:P31"/>
    <mergeCell ref="O42:P42"/>
    <mergeCell ref="O43:P43"/>
    <mergeCell ref="A44:D44"/>
    <mergeCell ref="O44:P44"/>
    <mergeCell ref="B45:P45"/>
    <mergeCell ref="O46:P46"/>
    <mergeCell ref="O37:P37"/>
    <mergeCell ref="O38:P38"/>
    <mergeCell ref="O39:P39"/>
    <mergeCell ref="A40:D40"/>
    <mergeCell ref="O40:P40"/>
    <mergeCell ref="B41:P41"/>
    <mergeCell ref="B51:P51"/>
    <mergeCell ref="O52:P52"/>
    <mergeCell ref="O53:P53"/>
    <mergeCell ref="A54:D54"/>
    <mergeCell ref="O54:P54"/>
    <mergeCell ref="B55:P55"/>
    <mergeCell ref="O47:P47"/>
    <mergeCell ref="A48:D48"/>
    <mergeCell ref="O48:P48"/>
    <mergeCell ref="A49:D49"/>
    <mergeCell ref="O49:P49"/>
    <mergeCell ref="B50:P50"/>
    <mergeCell ref="A61:D61"/>
    <mergeCell ref="O61:P61"/>
    <mergeCell ref="B62:P62"/>
    <mergeCell ref="O63:P63"/>
    <mergeCell ref="O64:P64"/>
    <mergeCell ref="A65:D65"/>
    <mergeCell ref="O65:P65"/>
    <mergeCell ref="O56:P56"/>
    <mergeCell ref="O57:P57"/>
    <mergeCell ref="A58:D58"/>
    <mergeCell ref="O58:P58"/>
    <mergeCell ref="B59:P59"/>
    <mergeCell ref="O60:P60"/>
    <mergeCell ref="O71:P71"/>
    <mergeCell ref="A72:D72"/>
    <mergeCell ref="O72:P72"/>
    <mergeCell ref="B73:P73"/>
    <mergeCell ref="O74:P74"/>
    <mergeCell ref="O75:P75"/>
    <mergeCell ref="B66:P66"/>
    <mergeCell ref="O67:P67"/>
    <mergeCell ref="O68:P68"/>
    <mergeCell ref="A69:D69"/>
    <mergeCell ref="O69:P69"/>
    <mergeCell ref="B70:P70"/>
    <mergeCell ref="B81:P81"/>
    <mergeCell ref="O82:P82"/>
    <mergeCell ref="A83:D83"/>
    <mergeCell ref="O83:P83"/>
    <mergeCell ref="B84:P84"/>
    <mergeCell ref="O85:P85"/>
    <mergeCell ref="A76:D76"/>
    <mergeCell ref="O76:P76"/>
    <mergeCell ref="B77:P77"/>
    <mergeCell ref="O78:P78"/>
    <mergeCell ref="O79:P79"/>
    <mergeCell ref="A80:D80"/>
    <mergeCell ref="A91:D91"/>
    <mergeCell ref="O91:P91"/>
    <mergeCell ref="B92:P92"/>
    <mergeCell ref="B93:P93"/>
    <mergeCell ref="O94:P94"/>
    <mergeCell ref="O95:P95"/>
    <mergeCell ref="O86:P86"/>
    <mergeCell ref="A87:D87"/>
    <mergeCell ref="O87:P87"/>
    <mergeCell ref="B88:P88"/>
    <mergeCell ref="O89:P89"/>
    <mergeCell ref="A90:D90"/>
    <mergeCell ref="O90:P90"/>
    <mergeCell ref="M107:N107"/>
    <mergeCell ref="A105:D105"/>
    <mergeCell ref="O102:P102"/>
    <mergeCell ref="A103:D103"/>
    <mergeCell ref="A104:D104"/>
    <mergeCell ref="O104:P104"/>
    <mergeCell ref="O96:P96"/>
    <mergeCell ref="O97:P97"/>
    <mergeCell ref="O98:P98"/>
    <mergeCell ref="O99:P99"/>
    <mergeCell ref="O100:P100"/>
    <mergeCell ref="O101:P101"/>
    <mergeCell ref="O103:P103"/>
  </mergeCells>
  <pageMargins left="0.34722222222222221" right="0.34722222222222221" top="0.34722222222222221" bottom="0.34722222222222221" header="0.27777777777777779" footer="0.1388888888888889"/>
  <pageSetup paperSize="9" scale="70" orientation="landscape" r:id="rId1"/>
  <headerFoot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0"/>
  <sheetViews>
    <sheetView topLeftCell="A102" workbookViewId="0">
      <selection activeCell="I31" sqref="I31"/>
    </sheetView>
  </sheetViews>
  <sheetFormatPr defaultColWidth="9.140625" defaultRowHeight="12.75" x14ac:dyDescent="0.25"/>
  <cols>
    <col min="1" max="1" width="9.7109375" style="2" customWidth="1"/>
    <col min="2" max="2" width="43.7109375" style="2" customWidth="1"/>
    <col min="3" max="4" width="0" style="2" hidden="1" customWidth="1"/>
    <col min="5" max="13" width="15.7109375" style="2" customWidth="1"/>
    <col min="14" max="16384" width="9.140625" style="2"/>
  </cols>
  <sheetData>
    <row r="1" spans="1:13" s="1" customFormat="1" ht="18.75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s="1" customFormat="1" ht="15" x14ac:dyDescent="0.25">
      <c r="A2" s="339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s="1" customFormat="1" ht="15" x14ac:dyDescent="0.25">
      <c r="A3" s="340" t="s">
        <v>782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</row>
    <row r="4" spans="1:13" s="1" customFormat="1" ht="15" x14ac:dyDescent="0.25">
      <c r="A4" s="339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3" s="1" customFormat="1" ht="15" x14ac:dyDescent="0.25">
      <c r="A5" s="342" t="s">
        <v>2</v>
      </c>
      <c r="B5" s="343"/>
      <c r="C5" s="343"/>
      <c r="D5" s="344"/>
      <c r="E5" s="332" t="s">
        <v>3</v>
      </c>
      <c r="F5" s="343"/>
      <c r="G5" s="343"/>
      <c r="H5" s="343"/>
      <c r="I5" s="343"/>
      <c r="J5" s="343"/>
      <c r="K5" s="343"/>
      <c r="L5" s="344"/>
      <c r="M5" s="344"/>
    </row>
    <row r="6" spans="1:13" s="1" customFormat="1" ht="14.45" customHeight="1" x14ac:dyDescent="0.25">
      <c r="A6" s="331"/>
      <c r="B6" s="332"/>
      <c r="C6" s="332"/>
      <c r="D6" s="332"/>
      <c r="E6" s="331" t="s">
        <v>4</v>
      </c>
      <c r="F6" s="332"/>
      <c r="G6" s="332"/>
      <c r="H6" s="332"/>
      <c r="I6" s="333" t="s">
        <v>198</v>
      </c>
      <c r="J6" s="334"/>
      <c r="K6" s="332"/>
      <c r="L6" s="335" t="s">
        <v>6</v>
      </c>
      <c r="M6" s="336"/>
    </row>
    <row r="7" spans="1:13" ht="25.5" x14ac:dyDescent="0.25">
      <c r="A7" s="107" t="s">
        <v>7</v>
      </c>
      <c r="B7" s="331" t="s">
        <v>8</v>
      </c>
      <c r="C7" s="331"/>
      <c r="D7" s="331"/>
      <c r="E7" s="108" t="s">
        <v>9</v>
      </c>
      <c r="F7" s="107" t="s">
        <v>10</v>
      </c>
      <c r="G7" s="108" t="s">
        <v>11</v>
      </c>
      <c r="H7" s="108" t="s">
        <v>12</v>
      </c>
      <c r="I7" s="108" t="s">
        <v>199</v>
      </c>
      <c r="J7" s="108" t="s">
        <v>200</v>
      </c>
      <c r="K7" s="107" t="s">
        <v>201</v>
      </c>
      <c r="L7" s="108" t="s">
        <v>16</v>
      </c>
      <c r="M7" s="108" t="s">
        <v>17</v>
      </c>
    </row>
    <row r="8" spans="1:13" x14ac:dyDescent="0.25">
      <c r="A8" s="109" t="s">
        <v>202</v>
      </c>
      <c r="B8" s="325" t="s">
        <v>203</v>
      </c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7"/>
    </row>
    <row r="9" spans="1:13" x14ac:dyDescent="0.25">
      <c r="A9" s="110" t="s">
        <v>204</v>
      </c>
      <c r="B9" s="329" t="s">
        <v>205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</row>
    <row r="10" spans="1:13" ht="25.5" x14ac:dyDescent="0.25">
      <c r="A10" s="111" t="s">
        <v>206</v>
      </c>
      <c r="B10" s="112" t="s">
        <v>207</v>
      </c>
      <c r="C10" s="111"/>
      <c r="D10" s="111"/>
      <c r="E10" s="113">
        <v>299450</v>
      </c>
      <c r="F10" s="113">
        <v>0</v>
      </c>
      <c r="G10" s="113">
        <v>0</v>
      </c>
      <c r="H10" s="113">
        <v>299450</v>
      </c>
      <c r="I10" s="113">
        <f>ROUND(256902.64,0)</f>
        <v>256903</v>
      </c>
      <c r="J10" s="113">
        <f>K10-I10</f>
        <v>843</v>
      </c>
      <c r="K10" s="113">
        <f>ROUND(257746.27,0)</f>
        <v>257746</v>
      </c>
      <c r="L10" s="113">
        <v>0</v>
      </c>
      <c r="M10" s="113">
        <f>K10-H10</f>
        <v>-41704</v>
      </c>
    </row>
    <row r="11" spans="1:13" ht="25.5" x14ac:dyDescent="0.25">
      <c r="A11" s="111" t="s">
        <v>208</v>
      </c>
      <c r="B11" s="112" t="s">
        <v>209</v>
      </c>
      <c r="C11" s="111"/>
      <c r="D11" s="111"/>
      <c r="E11" s="113">
        <v>7501</v>
      </c>
      <c r="F11" s="113">
        <v>0</v>
      </c>
      <c r="G11" s="113">
        <v>0</v>
      </c>
      <c r="H11" s="113">
        <v>7501</v>
      </c>
      <c r="I11" s="113">
        <v>480</v>
      </c>
      <c r="J11" s="113">
        <f t="shared" ref="J11:J12" si="0">K11-I11</f>
        <v>0</v>
      </c>
      <c r="K11" s="113">
        <v>480</v>
      </c>
      <c r="L11" s="113">
        <v>0</v>
      </c>
      <c r="M11" s="113">
        <f t="shared" ref="M11:M12" si="1">K11-H11</f>
        <v>-7021</v>
      </c>
    </row>
    <row r="12" spans="1:13" ht="25.5" x14ac:dyDescent="0.25">
      <c r="A12" s="111" t="s">
        <v>210</v>
      </c>
      <c r="B12" s="112" t="s">
        <v>211</v>
      </c>
      <c r="C12" s="111"/>
      <c r="D12" s="111"/>
      <c r="E12" s="113">
        <v>83200</v>
      </c>
      <c r="F12" s="113">
        <v>0</v>
      </c>
      <c r="G12" s="113">
        <v>0</v>
      </c>
      <c r="H12" s="113">
        <v>83200</v>
      </c>
      <c r="I12" s="113">
        <f>ROUND(52551.78,0)</f>
        <v>52552</v>
      </c>
      <c r="J12" s="113">
        <f t="shared" si="0"/>
        <v>8964</v>
      </c>
      <c r="K12" s="113">
        <f>ROUND(61515.68,0)</f>
        <v>61516</v>
      </c>
      <c r="L12" s="113">
        <v>0</v>
      </c>
      <c r="M12" s="113">
        <f t="shared" si="1"/>
        <v>-21684</v>
      </c>
    </row>
    <row r="13" spans="1:13" x14ac:dyDescent="0.25">
      <c r="A13" s="328" t="s">
        <v>212</v>
      </c>
      <c r="B13" s="328"/>
      <c r="C13" s="328"/>
      <c r="D13" s="328"/>
      <c r="E13" s="114">
        <v>390151</v>
      </c>
      <c r="F13" s="114">
        <v>0</v>
      </c>
      <c r="G13" s="114">
        <v>0</v>
      </c>
      <c r="H13" s="114">
        <v>390151</v>
      </c>
      <c r="I13" s="114">
        <f>SUM(I10:I12)</f>
        <v>309935</v>
      </c>
      <c r="J13" s="114">
        <f t="shared" ref="J13:K13" si="2">SUM(J10:J12)</f>
        <v>9807</v>
      </c>
      <c r="K13" s="114">
        <f t="shared" si="2"/>
        <v>319742</v>
      </c>
      <c r="L13" s="114">
        <v>0</v>
      </c>
      <c r="M13" s="114">
        <f>SUM(M10:M12)</f>
        <v>-70409</v>
      </c>
    </row>
    <row r="14" spans="1:13" ht="12.95" customHeight="1" x14ac:dyDescent="0.25">
      <c r="A14" s="110" t="s">
        <v>213</v>
      </c>
      <c r="B14" s="329" t="s">
        <v>214</v>
      </c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</row>
    <row r="15" spans="1:13" x14ac:dyDescent="0.25">
      <c r="A15" s="111" t="s">
        <v>215</v>
      </c>
      <c r="B15" s="112" t="s">
        <v>216</v>
      </c>
      <c r="C15" s="111"/>
      <c r="D15" s="111"/>
      <c r="E15" s="113">
        <v>215000</v>
      </c>
      <c r="F15" s="113">
        <v>0</v>
      </c>
      <c r="G15" s="113">
        <v>67400</v>
      </c>
      <c r="H15" s="113">
        <v>147600</v>
      </c>
      <c r="I15" s="113">
        <f>ROUND(147234.89,0)</f>
        <v>147235</v>
      </c>
      <c r="J15" s="113">
        <f t="shared" ref="J15:J23" si="3">K15-I15</f>
        <v>364</v>
      </c>
      <c r="K15" s="113">
        <f>ROUND(147598.89,0)</f>
        <v>147599</v>
      </c>
      <c r="L15" s="113">
        <v>0</v>
      </c>
      <c r="M15" s="113">
        <f t="shared" ref="M15:M23" si="4">K15-H15</f>
        <v>-1</v>
      </c>
    </row>
    <row r="16" spans="1:13" x14ac:dyDescent="0.25">
      <c r="A16" s="111" t="s">
        <v>217</v>
      </c>
      <c r="B16" s="112" t="s">
        <v>218</v>
      </c>
      <c r="C16" s="111"/>
      <c r="D16" s="111"/>
      <c r="E16" s="113">
        <v>2479446</v>
      </c>
      <c r="F16" s="113">
        <v>0</v>
      </c>
      <c r="G16" s="113">
        <v>600700</v>
      </c>
      <c r="H16" s="113">
        <v>1878746</v>
      </c>
      <c r="I16" s="113">
        <f>ROUND(1864402.57,0)</f>
        <v>1864403</v>
      </c>
      <c r="J16" s="113">
        <f t="shared" si="3"/>
        <v>11652</v>
      </c>
      <c r="K16" s="113">
        <f>ROUND(1876054.9,0)</f>
        <v>1876055</v>
      </c>
      <c r="L16" s="113">
        <v>0</v>
      </c>
      <c r="M16" s="113">
        <f t="shared" si="4"/>
        <v>-2691</v>
      </c>
    </row>
    <row r="17" spans="1:13" x14ac:dyDescent="0.25">
      <c r="A17" s="111" t="s">
        <v>219</v>
      </c>
      <c r="B17" s="112" t="s">
        <v>220</v>
      </c>
      <c r="C17" s="111"/>
      <c r="D17" s="111"/>
      <c r="E17" s="113">
        <v>248348</v>
      </c>
      <c r="F17" s="113">
        <v>0</v>
      </c>
      <c r="G17" s="113">
        <v>218700</v>
      </c>
      <c r="H17" s="113">
        <v>29648</v>
      </c>
      <c r="I17" s="113">
        <f>ROUND(29599.19,0)</f>
        <v>29599</v>
      </c>
      <c r="J17" s="113">
        <f t="shared" si="3"/>
        <v>0</v>
      </c>
      <c r="K17" s="113">
        <f>ROUND(29599.19,0)</f>
        <v>29599</v>
      </c>
      <c r="L17" s="113">
        <v>0</v>
      </c>
      <c r="M17" s="113">
        <f t="shared" si="4"/>
        <v>-49</v>
      </c>
    </row>
    <row r="18" spans="1:13" x14ac:dyDescent="0.25">
      <c r="A18" s="111" t="s">
        <v>221</v>
      </c>
      <c r="B18" s="112" t="s">
        <v>222</v>
      </c>
      <c r="C18" s="111"/>
      <c r="D18" s="111"/>
      <c r="E18" s="113">
        <v>55222</v>
      </c>
      <c r="F18" s="113">
        <v>0</v>
      </c>
      <c r="G18" s="113">
        <v>41200</v>
      </c>
      <c r="H18" s="113">
        <v>14022</v>
      </c>
      <c r="I18" s="113">
        <f>ROUND(6525.39,0)</f>
        <v>6525</v>
      </c>
      <c r="J18" s="113">
        <f t="shared" si="3"/>
        <v>258</v>
      </c>
      <c r="K18" s="113">
        <f>ROUND(6783.39,0)</f>
        <v>6783</v>
      </c>
      <c r="L18" s="113">
        <v>0</v>
      </c>
      <c r="M18" s="113">
        <f t="shared" si="4"/>
        <v>-7239</v>
      </c>
    </row>
    <row r="19" spans="1:13" x14ac:dyDescent="0.25">
      <c r="A19" s="111" t="s">
        <v>223</v>
      </c>
      <c r="B19" s="112" t="s">
        <v>224</v>
      </c>
      <c r="C19" s="111"/>
      <c r="D19" s="111"/>
      <c r="E19" s="113">
        <v>6000</v>
      </c>
      <c r="F19" s="113">
        <v>0</v>
      </c>
      <c r="G19" s="113">
        <v>6000</v>
      </c>
      <c r="H19" s="113">
        <v>0</v>
      </c>
      <c r="I19" s="113">
        <v>0</v>
      </c>
      <c r="J19" s="113">
        <f t="shared" si="3"/>
        <v>0</v>
      </c>
      <c r="K19" s="113">
        <v>0</v>
      </c>
      <c r="L19" s="113">
        <v>0</v>
      </c>
      <c r="M19" s="113">
        <f t="shared" si="4"/>
        <v>0</v>
      </c>
    </row>
    <row r="20" spans="1:13" ht="25.5" x14ac:dyDescent="0.25">
      <c r="A20" s="111" t="s">
        <v>225</v>
      </c>
      <c r="B20" s="112" t="s">
        <v>226</v>
      </c>
      <c r="C20" s="111"/>
      <c r="D20" s="111"/>
      <c r="E20" s="113">
        <v>41085</v>
      </c>
      <c r="F20" s="113">
        <v>5100</v>
      </c>
      <c r="G20" s="113">
        <v>0</v>
      </c>
      <c r="H20" s="113">
        <v>46185</v>
      </c>
      <c r="I20" s="113">
        <f>ROUND(27384.68,0)</f>
        <v>27385</v>
      </c>
      <c r="J20" s="113">
        <f t="shared" si="3"/>
        <v>17810</v>
      </c>
      <c r="K20" s="113">
        <v>45195</v>
      </c>
      <c r="L20" s="113">
        <v>0</v>
      </c>
      <c r="M20" s="113">
        <f t="shared" si="4"/>
        <v>-990</v>
      </c>
    </row>
    <row r="21" spans="1:13" ht="25.5" x14ac:dyDescent="0.25">
      <c r="A21" s="111" t="s">
        <v>227</v>
      </c>
      <c r="B21" s="112" t="s">
        <v>228</v>
      </c>
      <c r="C21" s="111"/>
      <c r="D21" s="111"/>
      <c r="E21" s="113">
        <v>875895</v>
      </c>
      <c r="F21" s="113">
        <v>172700</v>
      </c>
      <c r="G21" s="113">
        <v>0</v>
      </c>
      <c r="H21" s="113">
        <v>1048595</v>
      </c>
      <c r="I21" s="113">
        <f>ROUND(1033253.13,0)</f>
        <v>1033253</v>
      </c>
      <c r="J21" s="113">
        <f t="shared" si="3"/>
        <v>11205</v>
      </c>
      <c r="K21" s="113">
        <f>ROUND(1044457.73,0)</f>
        <v>1044458</v>
      </c>
      <c r="L21" s="113">
        <v>0</v>
      </c>
      <c r="M21" s="113">
        <f t="shared" si="4"/>
        <v>-4137</v>
      </c>
    </row>
    <row r="22" spans="1:13" x14ac:dyDescent="0.25">
      <c r="A22" s="111" t="s">
        <v>229</v>
      </c>
      <c r="B22" s="112" t="s">
        <v>230</v>
      </c>
      <c r="C22" s="111"/>
      <c r="D22" s="111"/>
      <c r="E22" s="113">
        <v>1055323</v>
      </c>
      <c r="F22" s="113">
        <v>793300</v>
      </c>
      <c r="G22" s="113">
        <v>0</v>
      </c>
      <c r="H22" s="113">
        <v>1848623</v>
      </c>
      <c r="I22" s="113">
        <f>ROUND(1847160.61,0)</f>
        <v>1847161</v>
      </c>
      <c r="J22" s="113">
        <f t="shared" si="3"/>
        <v>0</v>
      </c>
      <c r="K22" s="113">
        <f>ROUND(1847160.61,0)</f>
        <v>1847161</v>
      </c>
      <c r="L22" s="113">
        <v>0</v>
      </c>
      <c r="M22" s="113">
        <f t="shared" si="4"/>
        <v>-1462</v>
      </c>
    </row>
    <row r="23" spans="1:13" x14ac:dyDescent="0.25">
      <c r="A23" s="111" t="s">
        <v>231</v>
      </c>
      <c r="B23" s="112" t="s">
        <v>232</v>
      </c>
      <c r="C23" s="111"/>
      <c r="D23" s="111"/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f t="shared" si="3"/>
        <v>0</v>
      </c>
      <c r="K23" s="113">
        <v>0</v>
      </c>
      <c r="L23" s="113">
        <v>0</v>
      </c>
      <c r="M23" s="113">
        <f t="shared" si="4"/>
        <v>0</v>
      </c>
    </row>
    <row r="24" spans="1:13" x14ac:dyDescent="0.25">
      <c r="A24" s="328" t="s">
        <v>233</v>
      </c>
      <c r="B24" s="328"/>
      <c r="C24" s="328"/>
      <c r="D24" s="328"/>
      <c r="E24" s="114">
        <v>4976319</v>
      </c>
      <c r="F24" s="114">
        <v>971100</v>
      </c>
      <c r="G24" s="114">
        <v>934000</v>
      </c>
      <c r="H24" s="114">
        <v>5013419</v>
      </c>
      <c r="I24" s="114">
        <f>SUM(I15:I23)</f>
        <v>4955561</v>
      </c>
      <c r="J24" s="114">
        <f>SUM(J15:J23)</f>
        <v>41289</v>
      </c>
      <c r="K24" s="114">
        <f>SUM(K15:K23)</f>
        <v>4996850</v>
      </c>
      <c r="L24" s="114">
        <v>0</v>
      </c>
      <c r="M24" s="114">
        <f>SUM(M15:M23)</f>
        <v>-16569</v>
      </c>
    </row>
    <row r="25" spans="1:13" ht="12.95" customHeight="1" x14ac:dyDescent="0.25">
      <c r="A25" s="110" t="s">
        <v>234</v>
      </c>
      <c r="B25" s="329" t="s">
        <v>235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</row>
    <row r="26" spans="1:13" ht="25.5" x14ac:dyDescent="0.25">
      <c r="A26" s="111" t="s">
        <v>236</v>
      </c>
      <c r="B26" s="112" t="s">
        <v>237</v>
      </c>
      <c r="C26" s="111"/>
      <c r="D26" s="111"/>
      <c r="E26" s="113">
        <v>4815</v>
      </c>
      <c r="F26" s="113">
        <v>0</v>
      </c>
      <c r="G26" s="113">
        <v>0</v>
      </c>
      <c r="H26" s="113">
        <v>4815</v>
      </c>
      <c r="I26" s="113">
        <f>ROUND(507.48,0)</f>
        <v>507</v>
      </c>
      <c r="J26" s="113">
        <f t="shared" ref="J26:J43" si="5">K26-I26</f>
        <v>4308</v>
      </c>
      <c r="K26" s="113">
        <v>4815</v>
      </c>
      <c r="L26" s="113">
        <v>0</v>
      </c>
      <c r="M26" s="113">
        <f t="shared" ref="M26:M43" si="6">K26-H26</f>
        <v>0</v>
      </c>
    </row>
    <row r="27" spans="1:13" x14ac:dyDescent="0.25">
      <c r="A27" s="111" t="s">
        <v>238</v>
      </c>
      <c r="B27" s="112" t="s">
        <v>239</v>
      </c>
      <c r="C27" s="111"/>
      <c r="D27" s="111"/>
      <c r="E27" s="113">
        <v>1522</v>
      </c>
      <c r="F27" s="113">
        <v>0</v>
      </c>
      <c r="G27" s="113">
        <v>0</v>
      </c>
      <c r="H27" s="113">
        <v>1522</v>
      </c>
      <c r="I27" s="113">
        <v>0</v>
      </c>
      <c r="J27" s="113">
        <f t="shared" si="5"/>
        <v>0</v>
      </c>
      <c r="K27" s="113">
        <v>0</v>
      </c>
      <c r="L27" s="113">
        <v>0</v>
      </c>
      <c r="M27" s="113">
        <f t="shared" si="6"/>
        <v>-1522</v>
      </c>
    </row>
    <row r="28" spans="1:13" ht="51" x14ac:dyDescent="0.25">
      <c r="A28" s="111" t="s">
        <v>240</v>
      </c>
      <c r="B28" s="112" t="s">
        <v>241</v>
      </c>
      <c r="C28" s="111"/>
      <c r="D28" s="111"/>
      <c r="E28" s="113">
        <v>156877</v>
      </c>
      <c r="F28" s="113">
        <v>0</v>
      </c>
      <c r="G28" s="113">
        <v>0</v>
      </c>
      <c r="H28" s="113">
        <v>156877</v>
      </c>
      <c r="I28" s="115">
        <f>ROUND(60051.9,0)</f>
        <v>60052</v>
      </c>
      <c r="J28" s="113">
        <f t="shared" si="5"/>
        <v>19901</v>
      </c>
      <c r="K28" s="113">
        <f>ROUND(79952.96,0)</f>
        <v>79953</v>
      </c>
      <c r="L28" s="113">
        <v>0</v>
      </c>
      <c r="M28" s="113">
        <f t="shared" si="6"/>
        <v>-76924</v>
      </c>
    </row>
    <row r="29" spans="1:13" x14ac:dyDescent="0.25">
      <c r="A29" s="111" t="s">
        <v>242</v>
      </c>
      <c r="B29" s="112" t="s">
        <v>243</v>
      </c>
      <c r="C29" s="111"/>
      <c r="D29" s="111"/>
      <c r="E29" s="113">
        <v>50000</v>
      </c>
      <c r="F29" s="113">
        <v>0</v>
      </c>
      <c r="G29" s="113">
        <v>0</v>
      </c>
      <c r="H29" s="113">
        <v>50000</v>
      </c>
      <c r="I29" s="113">
        <f>ROUND(44845.98,0)</f>
        <v>44846</v>
      </c>
      <c r="J29" s="113">
        <f t="shared" si="5"/>
        <v>4554</v>
      </c>
      <c r="K29" s="113">
        <f>ROUND(49400.39,0)</f>
        <v>49400</v>
      </c>
      <c r="L29" s="113">
        <v>0</v>
      </c>
      <c r="M29" s="113">
        <f t="shared" si="6"/>
        <v>-600</v>
      </c>
    </row>
    <row r="30" spans="1:13" ht="25.5" x14ac:dyDescent="0.25">
      <c r="A30" s="111" t="s">
        <v>244</v>
      </c>
      <c r="B30" s="112" t="s">
        <v>245</v>
      </c>
      <c r="C30" s="111"/>
      <c r="D30" s="111"/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f t="shared" si="5"/>
        <v>0</v>
      </c>
      <c r="K30" s="113">
        <v>0</v>
      </c>
      <c r="L30" s="113">
        <v>0</v>
      </c>
      <c r="M30" s="113">
        <f t="shared" si="6"/>
        <v>0</v>
      </c>
    </row>
    <row r="31" spans="1:13" x14ac:dyDescent="0.25">
      <c r="A31" s="111" t="s">
        <v>246</v>
      </c>
      <c r="B31" s="112" t="s">
        <v>247</v>
      </c>
      <c r="C31" s="111"/>
      <c r="D31" s="111"/>
      <c r="E31" s="113">
        <v>86250</v>
      </c>
      <c r="F31" s="113">
        <v>0</v>
      </c>
      <c r="G31" s="113">
        <v>0</v>
      </c>
      <c r="H31" s="113">
        <v>86250</v>
      </c>
      <c r="I31" s="115">
        <f>ROUND(76594.16,0)+3</f>
        <v>76597</v>
      </c>
      <c r="J31" s="113">
        <f t="shared" si="5"/>
        <v>9653</v>
      </c>
      <c r="K31" s="113">
        <v>86250</v>
      </c>
      <c r="L31" s="113">
        <v>0</v>
      </c>
      <c r="M31" s="113">
        <f t="shared" si="6"/>
        <v>0</v>
      </c>
    </row>
    <row r="32" spans="1:13" x14ac:dyDescent="0.25">
      <c r="A32" s="111" t="s">
        <v>248</v>
      </c>
      <c r="B32" s="112" t="s">
        <v>249</v>
      </c>
      <c r="C32" s="111"/>
      <c r="D32" s="111"/>
      <c r="E32" s="113">
        <v>46679</v>
      </c>
      <c r="F32" s="113">
        <v>0</v>
      </c>
      <c r="G32" s="113">
        <v>0</v>
      </c>
      <c r="H32" s="113">
        <v>46679</v>
      </c>
      <c r="I32" s="113">
        <f>ROUND(35876.36,0)</f>
        <v>35876</v>
      </c>
      <c r="J32" s="113">
        <f t="shared" si="5"/>
        <v>10336</v>
      </c>
      <c r="K32" s="113">
        <f>ROUND(46211.56,0)</f>
        <v>46212</v>
      </c>
      <c r="L32" s="113">
        <v>0</v>
      </c>
      <c r="M32" s="113">
        <f t="shared" si="6"/>
        <v>-467</v>
      </c>
    </row>
    <row r="33" spans="1:13" x14ac:dyDescent="0.25">
      <c r="A33" s="111" t="s">
        <v>250</v>
      </c>
      <c r="B33" s="112" t="s">
        <v>251</v>
      </c>
      <c r="C33" s="111"/>
      <c r="D33" s="111"/>
      <c r="E33" s="113">
        <v>15000</v>
      </c>
      <c r="F33" s="113">
        <v>700</v>
      </c>
      <c r="G33" s="113">
        <v>0</v>
      </c>
      <c r="H33" s="113">
        <v>15700</v>
      </c>
      <c r="I33" s="113">
        <f>ROUND(15698.96,0)</f>
        <v>15699</v>
      </c>
      <c r="J33" s="113">
        <f t="shared" si="5"/>
        <v>0</v>
      </c>
      <c r="K33" s="113">
        <f>ROUND(15698.96,0)</f>
        <v>15699</v>
      </c>
      <c r="L33" s="113">
        <v>0</v>
      </c>
      <c r="M33" s="113">
        <f t="shared" si="6"/>
        <v>-1</v>
      </c>
    </row>
    <row r="34" spans="1:13" x14ac:dyDescent="0.25">
      <c r="A34" s="111" t="s">
        <v>252</v>
      </c>
      <c r="B34" s="112" t="s">
        <v>253</v>
      </c>
      <c r="C34" s="111"/>
      <c r="D34" s="111"/>
      <c r="E34" s="113">
        <v>5000</v>
      </c>
      <c r="F34" s="113">
        <v>0</v>
      </c>
      <c r="G34" s="113">
        <v>0</v>
      </c>
      <c r="H34" s="113">
        <v>5000</v>
      </c>
      <c r="I34" s="113">
        <v>0</v>
      </c>
      <c r="J34" s="113">
        <f t="shared" si="5"/>
        <v>0</v>
      </c>
      <c r="K34" s="113">
        <v>0</v>
      </c>
      <c r="L34" s="113">
        <v>0</v>
      </c>
      <c r="M34" s="113">
        <f t="shared" si="6"/>
        <v>-5000</v>
      </c>
    </row>
    <row r="35" spans="1:13" x14ac:dyDescent="0.25">
      <c r="A35" s="111" t="s">
        <v>254</v>
      </c>
      <c r="B35" s="112" t="s">
        <v>255</v>
      </c>
      <c r="C35" s="111"/>
      <c r="D35" s="111"/>
      <c r="E35" s="113">
        <v>129500</v>
      </c>
      <c r="F35" s="113">
        <v>9300</v>
      </c>
      <c r="G35" s="113">
        <v>0</v>
      </c>
      <c r="H35" s="113">
        <v>138800</v>
      </c>
      <c r="I35" s="113">
        <f>ROUND(74433.1,0)</f>
        <v>74433</v>
      </c>
      <c r="J35" s="113">
        <f t="shared" si="5"/>
        <v>61989</v>
      </c>
      <c r="K35" s="113">
        <f>ROUND(136422.42,0)</f>
        <v>136422</v>
      </c>
      <c r="L35" s="113">
        <v>0</v>
      </c>
      <c r="M35" s="113">
        <f t="shared" si="6"/>
        <v>-2378</v>
      </c>
    </row>
    <row r="36" spans="1:13" x14ac:dyDescent="0.25">
      <c r="A36" s="111" t="s">
        <v>256</v>
      </c>
      <c r="B36" s="112" t="s">
        <v>257</v>
      </c>
      <c r="C36" s="111"/>
      <c r="D36" s="111"/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f t="shared" si="5"/>
        <v>0</v>
      </c>
      <c r="K36" s="113">
        <v>0</v>
      </c>
      <c r="L36" s="113">
        <v>0</v>
      </c>
      <c r="M36" s="113">
        <f t="shared" si="6"/>
        <v>0</v>
      </c>
    </row>
    <row r="37" spans="1:13" ht="25.5" x14ac:dyDescent="0.25">
      <c r="A37" s="111" t="s">
        <v>258</v>
      </c>
      <c r="B37" s="112" t="s">
        <v>259</v>
      </c>
      <c r="C37" s="111"/>
      <c r="D37" s="111"/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f t="shared" si="5"/>
        <v>0</v>
      </c>
      <c r="K37" s="113">
        <v>0</v>
      </c>
      <c r="L37" s="113">
        <v>0</v>
      </c>
      <c r="M37" s="113">
        <f t="shared" si="6"/>
        <v>0</v>
      </c>
    </row>
    <row r="38" spans="1:13" ht="25.5" x14ac:dyDescent="0.25">
      <c r="A38" s="111" t="s">
        <v>260</v>
      </c>
      <c r="B38" s="112" t="s">
        <v>261</v>
      </c>
      <c r="C38" s="111"/>
      <c r="D38" s="111"/>
      <c r="E38" s="113">
        <v>6000</v>
      </c>
      <c r="F38" s="113">
        <v>0</v>
      </c>
      <c r="G38" s="113">
        <v>0</v>
      </c>
      <c r="H38" s="113">
        <v>6000</v>
      </c>
      <c r="I38" s="113">
        <v>0</v>
      </c>
      <c r="J38" s="113">
        <f t="shared" si="5"/>
        <v>0</v>
      </c>
      <c r="K38" s="113">
        <v>0</v>
      </c>
      <c r="L38" s="113">
        <v>0</v>
      </c>
      <c r="M38" s="113">
        <f t="shared" si="6"/>
        <v>-6000</v>
      </c>
    </row>
    <row r="39" spans="1:13" x14ac:dyDescent="0.25">
      <c r="A39" s="111" t="s">
        <v>262</v>
      </c>
      <c r="B39" s="112" t="s">
        <v>263</v>
      </c>
      <c r="C39" s="111"/>
      <c r="D39" s="111"/>
      <c r="E39" s="113">
        <v>20000</v>
      </c>
      <c r="F39" s="113">
        <v>0</v>
      </c>
      <c r="G39" s="113">
        <v>0</v>
      </c>
      <c r="H39" s="113">
        <v>20000</v>
      </c>
      <c r="I39" s="113">
        <v>14781</v>
      </c>
      <c r="J39" s="113">
        <f t="shared" si="5"/>
        <v>0</v>
      </c>
      <c r="K39" s="113">
        <v>14781</v>
      </c>
      <c r="L39" s="113">
        <v>0</v>
      </c>
      <c r="M39" s="113">
        <f t="shared" si="6"/>
        <v>-5219</v>
      </c>
    </row>
    <row r="40" spans="1:13" x14ac:dyDescent="0.25">
      <c r="A40" s="111" t="s">
        <v>264</v>
      </c>
      <c r="B40" s="112" t="s">
        <v>265</v>
      </c>
      <c r="C40" s="111"/>
      <c r="D40" s="111"/>
      <c r="E40" s="113">
        <v>15000</v>
      </c>
      <c r="F40" s="113">
        <v>0</v>
      </c>
      <c r="G40" s="113">
        <v>0</v>
      </c>
      <c r="H40" s="113">
        <v>15000</v>
      </c>
      <c r="I40" s="113">
        <v>312</v>
      </c>
      <c r="J40" s="113">
        <f t="shared" si="5"/>
        <v>2018</v>
      </c>
      <c r="K40" s="113">
        <f>ROUND(2329.64,0)</f>
        <v>2330</v>
      </c>
      <c r="L40" s="113">
        <v>0</v>
      </c>
      <c r="M40" s="113">
        <f t="shared" si="6"/>
        <v>-12670</v>
      </c>
    </row>
    <row r="41" spans="1:13" x14ac:dyDescent="0.25">
      <c r="A41" s="111" t="s">
        <v>266</v>
      </c>
      <c r="B41" s="112" t="s">
        <v>267</v>
      </c>
      <c r="C41" s="111"/>
      <c r="D41" s="111"/>
      <c r="E41" s="113">
        <v>1000</v>
      </c>
      <c r="F41" s="113">
        <v>0</v>
      </c>
      <c r="G41" s="113">
        <v>0</v>
      </c>
      <c r="H41" s="113">
        <v>1000</v>
      </c>
      <c r="I41" s="113">
        <v>220</v>
      </c>
      <c r="J41" s="113">
        <f t="shared" si="5"/>
        <v>780</v>
      </c>
      <c r="K41" s="113">
        <v>1000</v>
      </c>
      <c r="L41" s="113">
        <v>0</v>
      </c>
      <c r="M41" s="113">
        <f t="shared" si="6"/>
        <v>0</v>
      </c>
    </row>
    <row r="42" spans="1:13" x14ac:dyDescent="0.25">
      <c r="A42" s="111" t="s">
        <v>268</v>
      </c>
      <c r="B42" s="112" t="s">
        <v>269</v>
      </c>
      <c r="C42" s="111"/>
      <c r="D42" s="111"/>
      <c r="E42" s="113">
        <v>55000</v>
      </c>
      <c r="F42" s="113">
        <v>0</v>
      </c>
      <c r="G42" s="113">
        <v>0</v>
      </c>
      <c r="H42" s="113">
        <v>55000</v>
      </c>
      <c r="I42" s="113">
        <f>ROUND(38701.54,0)</f>
        <v>38702</v>
      </c>
      <c r="J42" s="113">
        <f t="shared" si="5"/>
        <v>7876</v>
      </c>
      <c r="K42" s="113">
        <f>ROUND(46577.71,0)</f>
        <v>46578</v>
      </c>
      <c r="L42" s="113">
        <v>0</v>
      </c>
      <c r="M42" s="113">
        <f t="shared" si="6"/>
        <v>-8422</v>
      </c>
    </row>
    <row r="43" spans="1:13" ht="25.5" x14ac:dyDescent="0.25">
      <c r="A43" s="111" t="s">
        <v>270</v>
      </c>
      <c r="B43" s="112" t="s">
        <v>271</v>
      </c>
      <c r="C43" s="111"/>
      <c r="D43" s="111"/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f t="shared" si="5"/>
        <v>0</v>
      </c>
      <c r="K43" s="113">
        <v>0</v>
      </c>
      <c r="L43" s="113">
        <v>0</v>
      </c>
      <c r="M43" s="113">
        <f t="shared" si="6"/>
        <v>0</v>
      </c>
    </row>
    <row r="44" spans="1:13" x14ac:dyDescent="0.25">
      <c r="A44" s="328" t="s">
        <v>272</v>
      </c>
      <c r="B44" s="328"/>
      <c r="C44" s="328"/>
      <c r="D44" s="328"/>
      <c r="E44" s="114">
        <v>592643</v>
      </c>
      <c r="F44" s="114">
        <v>10000</v>
      </c>
      <c r="G44" s="114">
        <v>0</v>
      </c>
      <c r="H44" s="114">
        <v>602643</v>
      </c>
      <c r="I44" s="114">
        <f>SUM(I26:I43)</f>
        <v>362025</v>
      </c>
      <c r="J44" s="114">
        <f>SUM(J26:J43)</f>
        <v>121415</v>
      </c>
      <c r="K44" s="114">
        <f>SUM(K26:K43)</f>
        <v>483440</v>
      </c>
      <c r="L44" s="114">
        <v>0</v>
      </c>
      <c r="M44" s="114">
        <f>SUM(M26:M43)</f>
        <v>-119203</v>
      </c>
    </row>
    <row r="45" spans="1:13" ht="12.95" customHeight="1" x14ac:dyDescent="0.25">
      <c r="A45" s="110" t="s">
        <v>273</v>
      </c>
      <c r="B45" s="329" t="s">
        <v>274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</row>
    <row r="46" spans="1:13" ht="25.5" x14ac:dyDescent="0.25">
      <c r="A46" s="111" t="s">
        <v>275</v>
      </c>
      <c r="B46" s="112" t="s">
        <v>276</v>
      </c>
      <c r="C46" s="111"/>
      <c r="D46" s="111"/>
      <c r="E46" s="113">
        <v>2200000</v>
      </c>
      <c r="F46" s="113">
        <v>0</v>
      </c>
      <c r="G46" s="113">
        <v>0</v>
      </c>
      <c r="H46" s="113">
        <v>2200000</v>
      </c>
      <c r="I46" s="113">
        <f>ROUND(1684542.05,0)</f>
        <v>1684542</v>
      </c>
      <c r="J46" s="113">
        <f t="shared" ref="J46:J50" si="7">K46-I46</f>
        <v>375479</v>
      </c>
      <c r="K46" s="113">
        <f>ROUND(2060020.63,0)</f>
        <v>2060021</v>
      </c>
      <c r="L46" s="113">
        <v>0</v>
      </c>
      <c r="M46" s="113">
        <f t="shared" ref="M46:M50" si="8">K46-H46</f>
        <v>-139979</v>
      </c>
    </row>
    <row r="47" spans="1:13" ht="38.25" x14ac:dyDescent="0.25">
      <c r="A47" s="111" t="s">
        <v>277</v>
      </c>
      <c r="B47" s="112" t="s">
        <v>278</v>
      </c>
      <c r="C47" s="111"/>
      <c r="D47" s="111"/>
      <c r="E47" s="113">
        <v>4215000</v>
      </c>
      <c r="F47" s="113">
        <v>0</v>
      </c>
      <c r="G47" s="113">
        <v>0</v>
      </c>
      <c r="H47" s="113">
        <v>4215000</v>
      </c>
      <c r="I47" s="113">
        <f>ROUND(2018549.34,0)</f>
        <v>2018549</v>
      </c>
      <c r="J47" s="113">
        <f t="shared" si="7"/>
        <v>1162019</v>
      </c>
      <c r="K47" s="113">
        <f>ROUND(3180567.59,0)</f>
        <v>3180568</v>
      </c>
      <c r="L47" s="113">
        <v>0</v>
      </c>
      <c r="M47" s="113">
        <f t="shared" si="8"/>
        <v>-1034432</v>
      </c>
    </row>
    <row r="48" spans="1:13" ht="38.25" x14ac:dyDescent="0.25">
      <c r="A48" s="111" t="s">
        <v>279</v>
      </c>
      <c r="B48" s="112" t="s">
        <v>280</v>
      </c>
      <c r="C48" s="111"/>
      <c r="D48" s="111"/>
      <c r="E48" s="113">
        <v>205000</v>
      </c>
      <c r="F48" s="113">
        <v>0</v>
      </c>
      <c r="G48" s="113">
        <v>205000</v>
      </c>
      <c r="H48" s="113">
        <v>0</v>
      </c>
      <c r="I48" s="113">
        <v>0</v>
      </c>
      <c r="J48" s="113">
        <f t="shared" si="7"/>
        <v>0</v>
      </c>
      <c r="K48" s="113">
        <v>0</v>
      </c>
      <c r="L48" s="113">
        <v>0</v>
      </c>
      <c r="M48" s="113">
        <f t="shared" si="8"/>
        <v>0</v>
      </c>
    </row>
    <row r="49" spans="1:13" x14ac:dyDescent="0.25">
      <c r="A49" s="111" t="s">
        <v>281</v>
      </c>
      <c r="B49" s="112" t="s">
        <v>282</v>
      </c>
      <c r="C49" s="111"/>
      <c r="D49" s="111"/>
      <c r="E49" s="113">
        <v>153969</v>
      </c>
      <c r="F49" s="113">
        <v>0</v>
      </c>
      <c r="G49" s="113">
        <v>51210</v>
      </c>
      <c r="H49" s="113">
        <v>102759</v>
      </c>
      <c r="I49" s="113">
        <f>ROUND(26524.47,0)</f>
        <v>26524</v>
      </c>
      <c r="J49" s="113">
        <f t="shared" si="7"/>
        <v>70454</v>
      </c>
      <c r="K49" s="113">
        <f>ROUND(96977.81,0)</f>
        <v>96978</v>
      </c>
      <c r="L49" s="113">
        <v>0</v>
      </c>
      <c r="M49" s="113">
        <f t="shared" si="8"/>
        <v>-5781</v>
      </c>
    </row>
    <row r="50" spans="1:13" x14ac:dyDescent="0.25">
      <c r="A50" s="111" t="s">
        <v>283</v>
      </c>
      <c r="B50" s="112" t="s">
        <v>284</v>
      </c>
      <c r="C50" s="111"/>
      <c r="D50" s="111"/>
      <c r="E50" s="113">
        <v>0</v>
      </c>
      <c r="F50" s="113">
        <v>51210</v>
      </c>
      <c r="G50" s="113">
        <v>0</v>
      </c>
      <c r="H50" s="113">
        <v>51210</v>
      </c>
      <c r="I50" s="113">
        <v>51210</v>
      </c>
      <c r="J50" s="113">
        <f t="shared" si="7"/>
        <v>0</v>
      </c>
      <c r="K50" s="113">
        <v>51210</v>
      </c>
      <c r="L50" s="113">
        <v>0</v>
      </c>
      <c r="M50" s="113">
        <f t="shared" si="8"/>
        <v>0</v>
      </c>
    </row>
    <row r="51" spans="1:13" x14ac:dyDescent="0.25">
      <c r="A51" s="328" t="s">
        <v>285</v>
      </c>
      <c r="B51" s="328"/>
      <c r="C51" s="328"/>
      <c r="D51" s="328"/>
      <c r="E51" s="114">
        <v>6773969</v>
      </c>
      <c r="F51" s="114">
        <v>51210</v>
      </c>
      <c r="G51" s="114">
        <v>256210</v>
      </c>
      <c r="H51" s="114">
        <v>6568969</v>
      </c>
      <c r="I51" s="114">
        <f>SUM(I46:I50)</f>
        <v>3780825</v>
      </c>
      <c r="J51" s="114">
        <f>SUM(J46:J50)</f>
        <v>1607952</v>
      </c>
      <c r="K51" s="114">
        <f t="shared" ref="K51" si="9">SUM(K46:K50)</f>
        <v>5388777</v>
      </c>
      <c r="L51" s="114">
        <v>0</v>
      </c>
      <c r="M51" s="114">
        <f>SUM(M46:M50)</f>
        <v>-1180192</v>
      </c>
    </row>
    <row r="52" spans="1:13" x14ac:dyDescent="0.25">
      <c r="A52" s="110" t="s">
        <v>286</v>
      </c>
      <c r="B52" s="329" t="s">
        <v>287</v>
      </c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</row>
    <row r="53" spans="1:13" ht="25.5" x14ac:dyDescent="0.25">
      <c r="A53" s="111" t="s">
        <v>288</v>
      </c>
      <c r="B53" s="112" t="s">
        <v>289</v>
      </c>
      <c r="C53" s="111"/>
      <c r="D53" s="111"/>
      <c r="E53" s="113">
        <v>400000</v>
      </c>
      <c r="F53" s="113">
        <v>0</v>
      </c>
      <c r="G53" s="113">
        <v>0</v>
      </c>
      <c r="H53" s="113">
        <v>400000</v>
      </c>
      <c r="I53" s="113">
        <f>ROUND(257793.23,0)</f>
        <v>257793</v>
      </c>
      <c r="J53" s="113">
        <f>K53-I53</f>
        <v>133158</v>
      </c>
      <c r="K53" s="113">
        <f>ROUND(390950.7,0)</f>
        <v>390951</v>
      </c>
      <c r="L53" s="113">
        <v>0</v>
      </c>
      <c r="M53" s="113">
        <f t="shared" ref="M53:M55" si="10">K53-H53</f>
        <v>-9049</v>
      </c>
    </row>
    <row r="54" spans="1:13" ht="38.25" x14ac:dyDescent="0.25">
      <c r="A54" s="111" t="s">
        <v>290</v>
      </c>
      <c r="B54" s="112" t="s">
        <v>291</v>
      </c>
      <c r="C54" s="111"/>
      <c r="D54" s="111"/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  <c r="L54" s="113">
        <v>0</v>
      </c>
      <c r="M54" s="113">
        <f t="shared" si="10"/>
        <v>0</v>
      </c>
    </row>
    <row r="55" spans="1:13" ht="25.5" x14ac:dyDescent="0.25">
      <c r="A55" s="111" t="s">
        <v>292</v>
      </c>
      <c r="B55" s="112" t="s">
        <v>293</v>
      </c>
      <c r="C55" s="111"/>
      <c r="D55" s="111"/>
      <c r="E55" s="113">
        <v>20000</v>
      </c>
      <c r="F55" s="113">
        <v>0</v>
      </c>
      <c r="G55" s="113">
        <v>0</v>
      </c>
      <c r="H55" s="113">
        <v>20000</v>
      </c>
      <c r="I55" s="113">
        <v>0</v>
      </c>
      <c r="J55" s="113">
        <v>0</v>
      </c>
      <c r="K55" s="113">
        <v>0</v>
      </c>
      <c r="L55" s="113">
        <v>0</v>
      </c>
      <c r="M55" s="113">
        <f t="shared" si="10"/>
        <v>-20000</v>
      </c>
    </row>
    <row r="56" spans="1:13" x14ac:dyDescent="0.25">
      <c r="A56" s="328" t="s">
        <v>294</v>
      </c>
      <c r="B56" s="328"/>
      <c r="C56" s="328"/>
      <c r="D56" s="328"/>
      <c r="E56" s="114">
        <v>420000</v>
      </c>
      <c r="F56" s="114">
        <v>0</v>
      </c>
      <c r="G56" s="114">
        <v>0</v>
      </c>
      <c r="H56" s="114">
        <v>420000</v>
      </c>
      <c r="I56" s="114">
        <f>SUM(I53:I55)</f>
        <v>257793</v>
      </c>
      <c r="J56" s="114">
        <f t="shared" ref="J56:K56" si="11">SUM(J53:J55)</f>
        <v>133158</v>
      </c>
      <c r="K56" s="114">
        <f t="shared" si="11"/>
        <v>390951</v>
      </c>
      <c r="L56" s="114">
        <v>0</v>
      </c>
      <c r="M56" s="114">
        <f>SUM(M53:M55)</f>
        <v>-29049</v>
      </c>
    </row>
    <row r="57" spans="1:13" x14ac:dyDescent="0.25">
      <c r="A57" s="110" t="s">
        <v>295</v>
      </c>
      <c r="B57" s="329" t="s">
        <v>296</v>
      </c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</row>
    <row r="58" spans="1:13" x14ac:dyDescent="0.25">
      <c r="A58" s="111" t="s">
        <v>297</v>
      </c>
      <c r="B58" s="112" t="s">
        <v>298</v>
      </c>
      <c r="C58" s="111"/>
      <c r="D58" s="111"/>
      <c r="E58" s="113">
        <v>16000</v>
      </c>
      <c r="F58" s="113">
        <v>0</v>
      </c>
      <c r="G58" s="113">
        <v>0</v>
      </c>
      <c r="H58" s="113">
        <v>16000</v>
      </c>
      <c r="I58" s="113">
        <f>ROUND(15322.64,0)</f>
        <v>15323</v>
      </c>
      <c r="J58" s="113">
        <f>K58-I58</f>
        <v>2</v>
      </c>
      <c r="K58" s="113">
        <f>ROUND(15325.17,0)</f>
        <v>15325</v>
      </c>
      <c r="L58" s="113">
        <v>0</v>
      </c>
      <c r="M58" s="113">
        <f t="shared" ref="M58" si="12">K58-H58</f>
        <v>-675</v>
      </c>
    </row>
    <row r="59" spans="1:13" x14ac:dyDescent="0.25">
      <c r="A59" s="328" t="s">
        <v>299</v>
      </c>
      <c r="B59" s="328"/>
      <c r="C59" s="328"/>
      <c r="D59" s="328"/>
      <c r="E59" s="114">
        <v>16000</v>
      </c>
      <c r="F59" s="114">
        <v>0</v>
      </c>
      <c r="G59" s="114">
        <v>0</v>
      </c>
      <c r="H59" s="114">
        <v>16000</v>
      </c>
      <c r="I59" s="114">
        <f>SUM(I58)</f>
        <v>15323</v>
      </c>
      <c r="J59" s="114">
        <f t="shared" ref="J59:K59" si="13">SUM(J58)</f>
        <v>2</v>
      </c>
      <c r="K59" s="114">
        <f t="shared" si="13"/>
        <v>15325</v>
      </c>
      <c r="L59" s="114">
        <v>0</v>
      </c>
      <c r="M59" s="114">
        <f>SUM(M58)</f>
        <v>-675</v>
      </c>
    </row>
    <row r="60" spans="1:13" x14ac:dyDescent="0.25">
      <c r="A60" s="110" t="s">
        <v>300</v>
      </c>
      <c r="B60" s="329" t="s">
        <v>301</v>
      </c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</row>
    <row r="61" spans="1:13" x14ac:dyDescent="0.25">
      <c r="A61" s="111" t="s">
        <v>302</v>
      </c>
      <c r="B61" s="112" t="s">
        <v>303</v>
      </c>
      <c r="C61" s="111"/>
      <c r="D61" s="111"/>
      <c r="E61" s="113">
        <v>325772</v>
      </c>
      <c r="F61" s="113">
        <v>45000</v>
      </c>
      <c r="G61" s="113">
        <v>0</v>
      </c>
      <c r="H61" s="113">
        <v>370772</v>
      </c>
      <c r="I61" s="113">
        <f>ROUND(344595.41,0)</f>
        <v>344595</v>
      </c>
      <c r="J61" s="113">
        <f>K61-I61</f>
        <v>11809</v>
      </c>
      <c r="K61" s="113">
        <f>ROUND(356403.73,0)</f>
        <v>356404</v>
      </c>
      <c r="L61" s="113">
        <v>0</v>
      </c>
      <c r="M61" s="113">
        <f t="shared" ref="M61" si="14">K61-H61</f>
        <v>-14368</v>
      </c>
    </row>
    <row r="62" spans="1:13" x14ac:dyDescent="0.25">
      <c r="A62" s="328" t="s">
        <v>304</v>
      </c>
      <c r="B62" s="328"/>
      <c r="C62" s="328"/>
      <c r="D62" s="328"/>
      <c r="E62" s="114">
        <v>325772</v>
      </c>
      <c r="F62" s="114">
        <v>45000</v>
      </c>
      <c r="G62" s="114">
        <v>0</v>
      </c>
      <c r="H62" s="114">
        <v>370772</v>
      </c>
      <c r="I62" s="114">
        <f>SUM(I61)</f>
        <v>344595</v>
      </c>
      <c r="J62" s="114">
        <f t="shared" ref="J62:K62" si="15">SUM(J61)</f>
        <v>11809</v>
      </c>
      <c r="K62" s="114">
        <f t="shared" si="15"/>
        <v>356404</v>
      </c>
      <c r="L62" s="114">
        <v>0</v>
      </c>
      <c r="M62" s="114">
        <f>M61</f>
        <v>-14368</v>
      </c>
    </row>
    <row r="63" spans="1:13" ht="12.95" customHeight="1" x14ac:dyDescent="0.25">
      <c r="A63" s="110" t="s">
        <v>305</v>
      </c>
      <c r="B63" s="329" t="s">
        <v>306</v>
      </c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x14ac:dyDescent="0.25">
      <c r="A64" s="111" t="s">
        <v>307</v>
      </c>
      <c r="B64" s="112" t="s">
        <v>308</v>
      </c>
      <c r="C64" s="111"/>
      <c r="D64" s="111"/>
      <c r="E64" s="113">
        <v>15000</v>
      </c>
      <c r="F64" s="113">
        <v>213000</v>
      </c>
      <c r="G64" s="113">
        <v>0</v>
      </c>
      <c r="H64" s="113">
        <v>228000</v>
      </c>
      <c r="I64" s="113">
        <f>ROUND(79619.03,0)</f>
        <v>79619</v>
      </c>
      <c r="J64" s="113">
        <f>K64-I64</f>
        <v>134470</v>
      </c>
      <c r="K64" s="113">
        <f>ROUND(214089.34,0)</f>
        <v>214089</v>
      </c>
      <c r="L64" s="113">
        <v>0</v>
      </c>
      <c r="M64" s="113">
        <f t="shared" ref="M64" si="16">K64-H64</f>
        <v>-13911</v>
      </c>
    </row>
    <row r="65" spans="1:13" x14ac:dyDescent="0.25">
      <c r="A65" s="328" t="s">
        <v>309</v>
      </c>
      <c r="B65" s="328"/>
      <c r="C65" s="328"/>
      <c r="D65" s="328"/>
      <c r="E65" s="114">
        <v>15000</v>
      </c>
      <c r="F65" s="114">
        <v>213000</v>
      </c>
      <c r="G65" s="114">
        <v>0</v>
      </c>
      <c r="H65" s="114">
        <v>228000</v>
      </c>
      <c r="I65" s="114">
        <f>SUM(I64)</f>
        <v>79619</v>
      </c>
      <c r="J65" s="114">
        <f t="shared" ref="J65:K65" si="17">SUM(J64)</f>
        <v>134470</v>
      </c>
      <c r="K65" s="114">
        <f t="shared" si="17"/>
        <v>214089</v>
      </c>
      <c r="L65" s="114">
        <v>0</v>
      </c>
      <c r="M65" s="114">
        <f>SUM(M64)</f>
        <v>-13911</v>
      </c>
    </row>
    <row r="66" spans="1:13" ht="12.95" customHeight="1" x14ac:dyDescent="0.25">
      <c r="A66" s="110" t="s">
        <v>310</v>
      </c>
      <c r="B66" s="329" t="s">
        <v>311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</row>
    <row r="67" spans="1:13" x14ac:dyDescent="0.25">
      <c r="A67" s="111" t="s">
        <v>312</v>
      </c>
      <c r="B67" s="112" t="s">
        <v>313</v>
      </c>
      <c r="C67" s="111"/>
      <c r="D67" s="111"/>
      <c r="E67" s="113">
        <v>0</v>
      </c>
      <c r="F67" s="113">
        <v>165000</v>
      </c>
      <c r="G67" s="113">
        <v>0</v>
      </c>
      <c r="H67" s="113">
        <v>165000</v>
      </c>
      <c r="I67" s="113">
        <v>165000</v>
      </c>
      <c r="J67" s="113">
        <v>0</v>
      </c>
      <c r="K67" s="113">
        <v>165000</v>
      </c>
      <c r="L67" s="113">
        <v>0</v>
      </c>
      <c r="M67" s="113">
        <f t="shared" ref="M67:M70" si="18">K67-H67</f>
        <v>0</v>
      </c>
    </row>
    <row r="68" spans="1:13" x14ac:dyDescent="0.25">
      <c r="A68" s="111" t="s">
        <v>314</v>
      </c>
      <c r="B68" s="112" t="s">
        <v>315</v>
      </c>
      <c r="C68" s="111"/>
      <c r="D68" s="111"/>
      <c r="E68" s="113">
        <v>200000</v>
      </c>
      <c r="F68" s="113">
        <v>0</v>
      </c>
      <c r="G68" s="113">
        <v>20000</v>
      </c>
      <c r="H68" s="113">
        <v>180000</v>
      </c>
      <c r="I68" s="113">
        <v>0</v>
      </c>
      <c r="J68" s="113">
        <v>0</v>
      </c>
      <c r="K68" s="113">
        <v>0</v>
      </c>
      <c r="L68" s="113">
        <v>0</v>
      </c>
      <c r="M68" s="113">
        <f t="shared" si="18"/>
        <v>-180000</v>
      </c>
    </row>
    <row r="69" spans="1:13" x14ac:dyDescent="0.25">
      <c r="A69" s="111" t="s">
        <v>316</v>
      </c>
      <c r="B69" s="112" t="s">
        <v>317</v>
      </c>
      <c r="C69" s="111"/>
      <c r="D69" s="111"/>
      <c r="E69" s="113">
        <v>308863</v>
      </c>
      <c r="F69" s="113">
        <v>0</v>
      </c>
      <c r="G69" s="113">
        <v>0</v>
      </c>
      <c r="H69" s="113">
        <v>308863</v>
      </c>
      <c r="I69" s="113">
        <v>308863</v>
      </c>
      <c r="J69" s="113">
        <v>0</v>
      </c>
      <c r="K69" s="113">
        <f>ROUND(308862.7,0)</f>
        <v>308863</v>
      </c>
      <c r="L69" s="113">
        <v>0</v>
      </c>
      <c r="M69" s="113">
        <f t="shared" si="18"/>
        <v>0</v>
      </c>
    </row>
    <row r="70" spans="1:13" x14ac:dyDescent="0.25">
      <c r="A70" s="111" t="s">
        <v>318</v>
      </c>
      <c r="B70" s="112" t="s">
        <v>319</v>
      </c>
      <c r="C70" s="111"/>
      <c r="D70" s="111"/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3">
        <v>0</v>
      </c>
      <c r="K70" s="113">
        <v>0</v>
      </c>
      <c r="L70" s="113">
        <v>0</v>
      </c>
      <c r="M70" s="113">
        <f t="shared" si="18"/>
        <v>0</v>
      </c>
    </row>
    <row r="71" spans="1:13" x14ac:dyDescent="0.25">
      <c r="A71" s="328" t="s">
        <v>320</v>
      </c>
      <c r="B71" s="328"/>
      <c r="C71" s="328"/>
      <c r="D71" s="328"/>
      <c r="E71" s="114">
        <v>508863</v>
      </c>
      <c r="F71" s="114">
        <v>165000</v>
      </c>
      <c r="G71" s="114">
        <v>20000</v>
      </c>
      <c r="H71" s="114">
        <v>653863</v>
      </c>
      <c r="I71" s="114">
        <f>SUM(I67:I70)</f>
        <v>473863</v>
      </c>
      <c r="J71" s="114">
        <f t="shared" ref="J71:K71" si="19">SUM(J67:J70)</f>
        <v>0</v>
      </c>
      <c r="K71" s="114">
        <f t="shared" si="19"/>
        <v>473863</v>
      </c>
      <c r="L71" s="114">
        <v>0</v>
      </c>
      <c r="M71" s="114">
        <f>SUM(M67:M70)</f>
        <v>-180000</v>
      </c>
    </row>
    <row r="72" spans="1:13" ht="12.95" customHeight="1" x14ac:dyDescent="0.25">
      <c r="A72" s="110" t="s">
        <v>321</v>
      </c>
      <c r="B72" s="329" t="s">
        <v>322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</row>
    <row r="73" spans="1:13" ht="25.5" x14ac:dyDescent="0.25">
      <c r="A73" s="111" t="s">
        <v>323</v>
      </c>
      <c r="B73" s="112" t="s">
        <v>324</v>
      </c>
      <c r="C73" s="111"/>
      <c r="D73" s="111"/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  <c r="L73" s="113">
        <v>0</v>
      </c>
      <c r="M73" s="113">
        <v>0</v>
      </c>
    </row>
    <row r="74" spans="1:13" x14ac:dyDescent="0.25">
      <c r="A74" s="328" t="s">
        <v>325</v>
      </c>
      <c r="B74" s="328"/>
      <c r="C74" s="328"/>
      <c r="D74" s="328"/>
      <c r="E74" s="114">
        <v>0</v>
      </c>
      <c r="F74" s="114">
        <v>0</v>
      </c>
      <c r="G74" s="114">
        <v>0</v>
      </c>
      <c r="H74" s="114">
        <v>0</v>
      </c>
      <c r="I74" s="114">
        <v>0</v>
      </c>
      <c r="J74" s="114">
        <v>0</v>
      </c>
      <c r="K74" s="114">
        <v>0</v>
      </c>
      <c r="L74" s="114">
        <v>0</v>
      </c>
      <c r="M74" s="114">
        <v>0</v>
      </c>
    </row>
    <row r="75" spans="1:13" ht="12.95" customHeight="1" x14ac:dyDescent="0.25">
      <c r="A75" s="110" t="s">
        <v>326</v>
      </c>
      <c r="B75" s="329" t="s">
        <v>327</v>
      </c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</row>
    <row r="76" spans="1:13" ht="25.5" x14ac:dyDescent="0.25">
      <c r="A76" s="111" t="s">
        <v>328</v>
      </c>
      <c r="B76" s="112" t="s">
        <v>329</v>
      </c>
      <c r="C76" s="111"/>
      <c r="D76" s="111"/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</row>
    <row r="77" spans="1:13" x14ac:dyDescent="0.25">
      <c r="A77" s="328" t="s">
        <v>330</v>
      </c>
      <c r="B77" s="328"/>
      <c r="C77" s="328"/>
      <c r="D77" s="328"/>
      <c r="E77" s="114">
        <v>0</v>
      </c>
      <c r="F77" s="114">
        <v>0</v>
      </c>
      <c r="G77" s="114">
        <v>0</v>
      </c>
      <c r="H77" s="114">
        <v>0</v>
      </c>
      <c r="I77" s="114">
        <v>0</v>
      </c>
      <c r="J77" s="114">
        <v>0</v>
      </c>
      <c r="K77" s="114">
        <v>0</v>
      </c>
      <c r="L77" s="114">
        <v>0</v>
      </c>
      <c r="M77" s="114">
        <v>0</v>
      </c>
    </row>
    <row r="78" spans="1:13" x14ac:dyDescent="0.25">
      <c r="A78" s="110" t="s">
        <v>331</v>
      </c>
      <c r="B78" s="329" t="s">
        <v>332</v>
      </c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</row>
    <row r="79" spans="1:13" x14ac:dyDescent="0.25">
      <c r="A79" s="111" t="s">
        <v>333</v>
      </c>
      <c r="B79" s="112" t="s">
        <v>334</v>
      </c>
      <c r="C79" s="111"/>
      <c r="D79" s="111"/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</row>
    <row r="80" spans="1:13" x14ac:dyDescent="0.25">
      <c r="A80" s="328" t="s">
        <v>335</v>
      </c>
      <c r="B80" s="328"/>
      <c r="C80" s="328"/>
      <c r="D80" s="328"/>
      <c r="E80" s="114">
        <v>0</v>
      </c>
      <c r="F80" s="114">
        <v>0</v>
      </c>
      <c r="G80" s="114">
        <v>0</v>
      </c>
      <c r="H80" s="114">
        <v>0</v>
      </c>
      <c r="I80" s="114">
        <v>0</v>
      </c>
      <c r="J80" s="114">
        <v>0</v>
      </c>
      <c r="K80" s="114">
        <v>0</v>
      </c>
      <c r="L80" s="114">
        <v>0</v>
      </c>
      <c r="M80" s="114">
        <v>0</v>
      </c>
    </row>
    <row r="81" spans="1:13" x14ac:dyDescent="0.25">
      <c r="A81" s="328" t="s">
        <v>336</v>
      </c>
      <c r="B81" s="328"/>
      <c r="C81" s="328"/>
      <c r="D81" s="328"/>
      <c r="E81" s="114">
        <v>14018717</v>
      </c>
      <c r="F81" s="114">
        <v>1455310</v>
      </c>
      <c r="G81" s="114">
        <v>1210210</v>
      </c>
      <c r="H81" s="114">
        <v>14263817</v>
      </c>
      <c r="I81" s="114">
        <f>I80+I77+I74+I71+I65+I62+I59+I56+I51+I44+I24+I13</f>
        <v>10579539</v>
      </c>
      <c r="J81" s="114">
        <f>J80+J77+J74+J71+J65+J62+J59+J56+J51+J44+J24+J13</f>
        <v>2059902</v>
      </c>
      <c r="K81" s="114">
        <f>K80+K77+K74+K71+K65+K62+K59+K56+K51+K44+K24+K13</f>
        <v>12639441</v>
      </c>
      <c r="L81" s="114">
        <v>0</v>
      </c>
      <c r="M81" s="114">
        <f>M80+M77+M74+M71+M65+M62+M59+M56+M51+M44+M24+M13</f>
        <v>-1624376</v>
      </c>
    </row>
    <row r="82" spans="1:13" x14ac:dyDescent="0.25">
      <c r="A82" s="109" t="s">
        <v>337</v>
      </c>
      <c r="B82" s="325" t="s">
        <v>338</v>
      </c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7"/>
    </row>
    <row r="83" spans="1:13" ht="12.95" customHeight="1" x14ac:dyDescent="0.25">
      <c r="A83" s="110" t="s">
        <v>339</v>
      </c>
      <c r="B83" s="329" t="s">
        <v>340</v>
      </c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</row>
    <row r="84" spans="1:13" ht="25.5" x14ac:dyDescent="0.25">
      <c r="A84" s="111" t="s">
        <v>341</v>
      </c>
      <c r="B84" s="112" t="s">
        <v>342</v>
      </c>
      <c r="C84" s="111"/>
      <c r="D84" s="111"/>
      <c r="E84" s="113">
        <v>62000000</v>
      </c>
      <c r="F84" s="113">
        <v>0</v>
      </c>
      <c r="G84" s="113">
        <v>0</v>
      </c>
      <c r="H84" s="113">
        <v>62000000</v>
      </c>
      <c r="I84" s="113">
        <f>ROUND(10377949.99,0)</f>
        <v>10377950</v>
      </c>
      <c r="J84" s="113">
        <f t="shared" ref="J84:J87" si="20">K84-I84</f>
        <v>21812414</v>
      </c>
      <c r="K84" s="113">
        <f>ROUND(32190363.52,0)</f>
        <v>32190364</v>
      </c>
      <c r="L84" s="113">
        <v>0</v>
      </c>
      <c r="M84" s="113">
        <f t="shared" ref="M84:M87" si="21">K84-H84</f>
        <v>-29809636</v>
      </c>
    </row>
    <row r="85" spans="1:13" ht="38.25" x14ac:dyDescent="0.25">
      <c r="A85" s="111" t="s">
        <v>343</v>
      </c>
      <c r="B85" s="112" t="s">
        <v>344</v>
      </c>
      <c r="C85" s="111"/>
      <c r="D85" s="111"/>
      <c r="E85" s="113">
        <v>1000000</v>
      </c>
      <c r="F85" s="113">
        <v>0</v>
      </c>
      <c r="G85" s="113">
        <v>0</v>
      </c>
      <c r="H85" s="113">
        <v>1000000</v>
      </c>
      <c r="I85" s="113">
        <v>1200</v>
      </c>
      <c r="J85" s="113">
        <f t="shared" si="20"/>
        <v>30</v>
      </c>
      <c r="K85" s="113">
        <v>1230</v>
      </c>
      <c r="L85" s="113">
        <v>0</v>
      </c>
      <c r="M85" s="113">
        <f t="shared" si="21"/>
        <v>-998770</v>
      </c>
    </row>
    <row r="86" spans="1:13" ht="25.5" x14ac:dyDescent="0.25">
      <c r="A86" s="111" t="s">
        <v>345</v>
      </c>
      <c r="B86" s="112" t="s">
        <v>346</v>
      </c>
      <c r="C86" s="111"/>
      <c r="D86" s="111"/>
      <c r="E86" s="113">
        <v>6530000</v>
      </c>
      <c r="F86" s="113">
        <v>0</v>
      </c>
      <c r="G86" s="113">
        <v>0</v>
      </c>
      <c r="H86" s="113">
        <v>6530000</v>
      </c>
      <c r="I86" s="113">
        <f>ROUND(15417.46,0)</f>
        <v>15417</v>
      </c>
      <c r="J86" s="113">
        <f t="shared" si="20"/>
        <v>1826586</v>
      </c>
      <c r="K86" s="113">
        <f>ROUND(1842002.94,0)</f>
        <v>1842003</v>
      </c>
      <c r="L86" s="113">
        <v>0</v>
      </c>
      <c r="M86" s="113">
        <f t="shared" si="21"/>
        <v>-4687997</v>
      </c>
    </row>
    <row r="87" spans="1:13" ht="25.5" x14ac:dyDescent="0.25">
      <c r="A87" s="111" t="s">
        <v>347</v>
      </c>
      <c r="B87" s="112" t="s">
        <v>348</v>
      </c>
      <c r="C87" s="111"/>
      <c r="D87" s="111"/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3">
        <f t="shared" si="20"/>
        <v>0</v>
      </c>
      <c r="K87" s="113">
        <v>0</v>
      </c>
      <c r="L87" s="113">
        <v>0</v>
      </c>
      <c r="M87" s="113">
        <f t="shared" si="21"/>
        <v>0</v>
      </c>
    </row>
    <row r="88" spans="1:13" x14ac:dyDescent="0.25">
      <c r="A88" s="328" t="s">
        <v>349</v>
      </c>
      <c r="B88" s="328"/>
      <c r="C88" s="328"/>
      <c r="D88" s="328"/>
      <c r="E88" s="114">
        <v>69530000</v>
      </c>
      <c r="F88" s="114">
        <v>0</v>
      </c>
      <c r="G88" s="114">
        <v>0</v>
      </c>
      <c r="H88" s="114">
        <v>69530000</v>
      </c>
      <c r="I88" s="114">
        <f>SUM(I84:I87)</f>
        <v>10394567</v>
      </c>
      <c r="J88" s="114">
        <f t="shared" ref="J88:K88" si="22">SUM(J84:J87)</f>
        <v>23639030</v>
      </c>
      <c r="K88" s="114">
        <f t="shared" si="22"/>
        <v>34033597</v>
      </c>
      <c r="L88" s="114">
        <v>0</v>
      </c>
      <c r="M88" s="114">
        <f>SUM(M84:M87)</f>
        <v>-35496403</v>
      </c>
    </row>
    <row r="89" spans="1:13" ht="12.95" customHeight="1" x14ac:dyDescent="0.25">
      <c r="A89" s="110" t="s">
        <v>350</v>
      </c>
      <c r="B89" s="329" t="s">
        <v>351</v>
      </c>
      <c r="C89" s="330"/>
      <c r="D89" s="330"/>
      <c r="E89" s="330"/>
      <c r="F89" s="330"/>
      <c r="G89" s="330"/>
      <c r="H89" s="330"/>
      <c r="I89" s="330"/>
      <c r="J89" s="330"/>
      <c r="K89" s="330"/>
      <c r="L89" s="330"/>
      <c r="M89" s="330"/>
    </row>
    <row r="90" spans="1:13" x14ac:dyDescent="0.25">
      <c r="A90" s="111" t="s">
        <v>352</v>
      </c>
      <c r="B90" s="112" t="s">
        <v>353</v>
      </c>
      <c r="C90" s="111"/>
      <c r="D90" s="111"/>
      <c r="E90" s="113">
        <v>930000</v>
      </c>
      <c r="F90" s="113">
        <v>0</v>
      </c>
      <c r="G90" s="113">
        <v>400000</v>
      </c>
      <c r="H90" s="113">
        <v>530000</v>
      </c>
      <c r="I90" s="115">
        <f>ROUND(16902.62,0)</f>
        <v>16903</v>
      </c>
      <c r="J90" s="113">
        <f t="shared" ref="J90:J94" si="23">K90-I90</f>
        <v>6540</v>
      </c>
      <c r="K90" s="113">
        <f>ROUND(23443.28,0)</f>
        <v>23443</v>
      </c>
      <c r="L90" s="113">
        <v>0</v>
      </c>
      <c r="M90" s="113">
        <f t="shared" ref="M90:M94" si="24">K90-H90</f>
        <v>-506557</v>
      </c>
    </row>
    <row r="91" spans="1:13" ht="25.5" x14ac:dyDescent="0.25">
      <c r="A91" s="111" t="s">
        <v>354</v>
      </c>
      <c r="B91" s="112" t="s">
        <v>355</v>
      </c>
      <c r="C91" s="111"/>
      <c r="D91" s="111"/>
      <c r="E91" s="113">
        <v>0</v>
      </c>
      <c r="F91" s="113">
        <v>0</v>
      </c>
      <c r="G91" s="113">
        <v>0</v>
      </c>
      <c r="H91" s="113">
        <v>0</v>
      </c>
      <c r="I91" s="113">
        <v>0</v>
      </c>
      <c r="J91" s="113">
        <f t="shared" si="23"/>
        <v>0</v>
      </c>
      <c r="K91" s="113">
        <v>0</v>
      </c>
      <c r="L91" s="113">
        <v>0</v>
      </c>
      <c r="M91" s="113">
        <f t="shared" si="24"/>
        <v>0</v>
      </c>
    </row>
    <row r="92" spans="1:13" x14ac:dyDescent="0.25">
      <c r="A92" s="111" t="s">
        <v>356</v>
      </c>
      <c r="B92" s="112" t="s">
        <v>357</v>
      </c>
      <c r="C92" s="111"/>
      <c r="D92" s="111"/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3">
        <f t="shared" si="23"/>
        <v>0</v>
      </c>
      <c r="K92" s="113">
        <v>0</v>
      </c>
      <c r="L92" s="113">
        <v>0</v>
      </c>
      <c r="M92" s="113">
        <f t="shared" si="24"/>
        <v>0</v>
      </c>
    </row>
    <row r="93" spans="1:13" x14ac:dyDescent="0.25">
      <c r="A93" s="111" t="s">
        <v>358</v>
      </c>
      <c r="B93" s="112" t="s">
        <v>359</v>
      </c>
      <c r="C93" s="111"/>
      <c r="D93" s="111"/>
      <c r="E93" s="113">
        <v>100000</v>
      </c>
      <c r="F93" s="113">
        <v>400000</v>
      </c>
      <c r="G93" s="113">
        <v>0</v>
      </c>
      <c r="H93" s="113">
        <v>500000</v>
      </c>
      <c r="I93" s="113">
        <f>ROUND(235672.4,0)</f>
        <v>235672</v>
      </c>
      <c r="J93" s="113">
        <f t="shared" si="23"/>
        <v>63331</v>
      </c>
      <c r="K93" s="113">
        <f>ROUND(299003.22,0)</f>
        <v>299003</v>
      </c>
      <c r="L93" s="113">
        <v>0</v>
      </c>
      <c r="M93" s="113">
        <f t="shared" si="24"/>
        <v>-200997</v>
      </c>
    </row>
    <row r="94" spans="1:13" x14ac:dyDescent="0.25">
      <c r="A94" s="111" t="s">
        <v>360</v>
      </c>
      <c r="B94" s="112" t="s">
        <v>361</v>
      </c>
      <c r="C94" s="111"/>
      <c r="D94" s="111"/>
      <c r="E94" s="113">
        <v>600000</v>
      </c>
      <c r="F94" s="113">
        <v>0</v>
      </c>
      <c r="G94" s="113">
        <v>0</v>
      </c>
      <c r="H94" s="113">
        <v>600000</v>
      </c>
      <c r="I94" s="113">
        <f>ROUND(31260.46,0)</f>
        <v>31260</v>
      </c>
      <c r="J94" s="113">
        <f t="shared" si="23"/>
        <v>25648</v>
      </c>
      <c r="K94" s="113">
        <f>ROUND(56907.99,0)</f>
        <v>56908</v>
      </c>
      <c r="L94" s="113">
        <v>0</v>
      </c>
      <c r="M94" s="113">
        <f t="shared" si="24"/>
        <v>-543092</v>
      </c>
    </row>
    <row r="95" spans="1:13" x14ac:dyDescent="0.25">
      <c r="A95" s="328" t="s">
        <v>362</v>
      </c>
      <c r="B95" s="328"/>
      <c r="C95" s="328"/>
      <c r="D95" s="328"/>
      <c r="E95" s="114">
        <v>1630000</v>
      </c>
      <c r="F95" s="114">
        <v>400000</v>
      </c>
      <c r="G95" s="114">
        <v>400000</v>
      </c>
      <c r="H95" s="114">
        <v>1630000</v>
      </c>
      <c r="I95" s="114">
        <f>SUM(I90:I94)</f>
        <v>283835</v>
      </c>
      <c r="J95" s="114">
        <f t="shared" ref="J95:K95" si="25">SUM(J90:J94)</f>
        <v>95519</v>
      </c>
      <c r="K95" s="114">
        <f t="shared" si="25"/>
        <v>379354</v>
      </c>
      <c r="L95" s="114">
        <v>0</v>
      </c>
      <c r="M95" s="114">
        <f>SUM(M90:M94)</f>
        <v>-1250646</v>
      </c>
    </row>
    <row r="96" spans="1:13" ht="12.95" customHeight="1" x14ac:dyDescent="0.25">
      <c r="A96" s="110" t="s">
        <v>363</v>
      </c>
      <c r="B96" s="329" t="s">
        <v>783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0"/>
      <c r="M96" s="330"/>
    </row>
    <row r="97" spans="1:13" x14ac:dyDescent="0.25">
      <c r="A97" s="111" t="s">
        <v>364</v>
      </c>
      <c r="B97" s="112" t="s">
        <v>365</v>
      </c>
      <c r="C97" s="111"/>
      <c r="D97" s="111"/>
      <c r="E97" s="113">
        <v>50000</v>
      </c>
      <c r="F97" s="113">
        <v>0</v>
      </c>
      <c r="G97" s="113">
        <v>0</v>
      </c>
      <c r="H97" s="113">
        <v>50000</v>
      </c>
      <c r="I97" s="113">
        <v>0</v>
      </c>
      <c r="J97" s="113">
        <v>0</v>
      </c>
      <c r="K97" s="113">
        <v>0</v>
      </c>
      <c r="L97" s="113">
        <v>0</v>
      </c>
      <c r="M97" s="113">
        <f t="shared" ref="M97:M98" si="26">K97-H97</f>
        <v>-50000</v>
      </c>
    </row>
    <row r="98" spans="1:13" ht="25.5" x14ac:dyDescent="0.25">
      <c r="A98" s="111" t="s">
        <v>366</v>
      </c>
      <c r="B98" s="112" t="s">
        <v>367</v>
      </c>
      <c r="C98" s="111"/>
      <c r="D98" s="111"/>
      <c r="E98" s="113">
        <v>420000</v>
      </c>
      <c r="F98" s="113">
        <v>0</v>
      </c>
      <c r="G98" s="113">
        <v>0</v>
      </c>
      <c r="H98" s="113">
        <v>420000</v>
      </c>
      <c r="I98" s="113">
        <v>0</v>
      </c>
      <c r="J98" s="113">
        <v>60</v>
      </c>
      <c r="K98" s="113">
        <v>60</v>
      </c>
      <c r="L98" s="113">
        <v>0</v>
      </c>
      <c r="M98" s="113">
        <f t="shared" si="26"/>
        <v>-419940</v>
      </c>
    </row>
    <row r="99" spans="1:13" x14ac:dyDescent="0.25">
      <c r="A99" s="328" t="s">
        <v>368</v>
      </c>
      <c r="B99" s="328"/>
      <c r="C99" s="328"/>
      <c r="D99" s="328"/>
      <c r="E99" s="114">
        <v>470000</v>
      </c>
      <c r="F99" s="114">
        <v>0</v>
      </c>
      <c r="G99" s="114">
        <v>0</v>
      </c>
      <c r="H99" s="114">
        <v>470000</v>
      </c>
      <c r="I99" s="114">
        <v>0</v>
      </c>
      <c r="J99" s="114">
        <v>60</v>
      </c>
      <c r="K99" s="114">
        <v>60</v>
      </c>
      <c r="L99" s="114">
        <v>0</v>
      </c>
      <c r="M99" s="114">
        <v>-469940</v>
      </c>
    </row>
    <row r="100" spans="1:13" ht="12.95" customHeight="1" x14ac:dyDescent="0.25">
      <c r="A100" s="110" t="s">
        <v>369</v>
      </c>
      <c r="B100" s="329" t="s">
        <v>370</v>
      </c>
      <c r="C100" s="330"/>
      <c r="D100" s="330"/>
      <c r="E100" s="330"/>
      <c r="F100" s="330"/>
      <c r="G100" s="330"/>
      <c r="H100" s="330"/>
      <c r="I100" s="330"/>
      <c r="J100" s="330"/>
      <c r="K100" s="330"/>
      <c r="L100" s="330"/>
      <c r="M100" s="330"/>
    </row>
    <row r="101" spans="1:13" ht="25.5" x14ac:dyDescent="0.25">
      <c r="A101" s="111" t="s">
        <v>371</v>
      </c>
      <c r="B101" s="112" t="s">
        <v>372</v>
      </c>
      <c r="C101" s="111"/>
      <c r="D101" s="111"/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</row>
    <row r="102" spans="1:13" x14ac:dyDescent="0.25">
      <c r="A102" s="111" t="s">
        <v>373</v>
      </c>
      <c r="B102" s="112" t="s">
        <v>374</v>
      </c>
      <c r="C102" s="111"/>
      <c r="D102" s="111"/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</row>
    <row r="103" spans="1:13" x14ac:dyDescent="0.25">
      <c r="A103" s="111" t="s">
        <v>375</v>
      </c>
      <c r="B103" s="112" t="s">
        <v>376</v>
      </c>
      <c r="C103" s="111"/>
      <c r="D103" s="111"/>
      <c r="E103" s="113">
        <v>0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</row>
    <row r="104" spans="1:13" x14ac:dyDescent="0.25">
      <c r="A104" s="328" t="s">
        <v>377</v>
      </c>
      <c r="B104" s="328"/>
      <c r="C104" s="328"/>
      <c r="D104" s="328"/>
      <c r="E104" s="114">
        <v>0</v>
      </c>
      <c r="F104" s="114">
        <v>0</v>
      </c>
      <c r="G104" s="114">
        <v>0</v>
      </c>
      <c r="H104" s="114">
        <v>0</v>
      </c>
      <c r="I104" s="114">
        <v>0</v>
      </c>
      <c r="J104" s="114">
        <v>0</v>
      </c>
      <c r="K104" s="114">
        <v>0</v>
      </c>
      <c r="L104" s="114">
        <v>0</v>
      </c>
      <c r="M104" s="114">
        <v>0</v>
      </c>
    </row>
    <row r="105" spans="1:13" ht="12.95" customHeight="1" x14ac:dyDescent="0.25">
      <c r="A105" s="110" t="s">
        <v>378</v>
      </c>
      <c r="B105" s="329" t="s">
        <v>379</v>
      </c>
      <c r="C105" s="330"/>
      <c r="D105" s="330"/>
      <c r="E105" s="330"/>
      <c r="F105" s="330"/>
      <c r="G105" s="330"/>
      <c r="H105" s="330"/>
      <c r="I105" s="330"/>
      <c r="J105" s="330"/>
      <c r="K105" s="330"/>
      <c r="L105" s="330"/>
      <c r="M105" s="330"/>
    </row>
    <row r="106" spans="1:13" ht="25.5" x14ac:dyDescent="0.25">
      <c r="A106" s="111" t="s">
        <v>380</v>
      </c>
      <c r="B106" s="112" t="s">
        <v>381</v>
      </c>
      <c r="C106" s="111"/>
      <c r="D106" s="111"/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f t="shared" ref="M106:M108" si="27">K106-H106</f>
        <v>0</v>
      </c>
    </row>
    <row r="107" spans="1:13" ht="25.5" x14ac:dyDescent="0.25">
      <c r="A107" s="111" t="s">
        <v>382</v>
      </c>
      <c r="B107" s="112" t="s">
        <v>383</v>
      </c>
      <c r="C107" s="111"/>
      <c r="D107" s="111"/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f t="shared" si="27"/>
        <v>0</v>
      </c>
    </row>
    <row r="108" spans="1:13" x14ac:dyDescent="0.25">
      <c r="A108" s="111" t="s">
        <v>384</v>
      </c>
      <c r="B108" s="112" t="s">
        <v>385</v>
      </c>
      <c r="C108" s="111"/>
      <c r="D108" s="111"/>
      <c r="E108" s="113">
        <v>129000</v>
      </c>
      <c r="F108" s="113">
        <v>0</v>
      </c>
      <c r="G108" s="113">
        <v>0</v>
      </c>
      <c r="H108" s="113">
        <v>129000</v>
      </c>
      <c r="I108" s="113">
        <f>ROUND(99541.91,0)</f>
        <v>99542</v>
      </c>
      <c r="J108" s="113">
        <f t="shared" ref="J108" si="28">K108-I108</f>
        <v>12714</v>
      </c>
      <c r="K108" s="113">
        <f>ROUND(112256.08,0)</f>
        <v>112256</v>
      </c>
      <c r="L108" s="113">
        <v>0</v>
      </c>
      <c r="M108" s="113">
        <f t="shared" si="27"/>
        <v>-16744</v>
      </c>
    </row>
    <row r="109" spans="1:13" x14ac:dyDescent="0.25">
      <c r="A109" s="328" t="s">
        <v>386</v>
      </c>
      <c r="B109" s="328"/>
      <c r="C109" s="328"/>
      <c r="D109" s="328"/>
      <c r="E109" s="114">
        <v>129000</v>
      </c>
      <c r="F109" s="114">
        <v>0</v>
      </c>
      <c r="G109" s="114">
        <v>0</v>
      </c>
      <c r="H109" s="114">
        <v>129000</v>
      </c>
      <c r="I109" s="114">
        <f>SUM(I106:I108)</f>
        <v>99542</v>
      </c>
      <c r="J109" s="114">
        <f t="shared" ref="J109:K109" si="29">SUM(J106:J108)</f>
        <v>12714</v>
      </c>
      <c r="K109" s="114">
        <f t="shared" si="29"/>
        <v>112256</v>
      </c>
      <c r="L109" s="114">
        <v>0</v>
      </c>
      <c r="M109" s="114">
        <f>SUM(M106:M108)</f>
        <v>-16744</v>
      </c>
    </row>
    <row r="110" spans="1:13" x14ac:dyDescent="0.25">
      <c r="A110" s="110" t="s">
        <v>387</v>
      </c>
      <c r="B110" s="329" t="s">
        <v>388</v>
      </c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</row>
    <row r="111" spans="1:13" x14ac:dyDescent="0.25">
      <c r="A111" s="111" t="s">
        <v>389</v>
      </c>
      <c r="B111" s="112" t="s">
        <v>390</v>
      </c>
      <c r="C111" s="111"/>
      <c r="D111" s="111"/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</row>
    <row r="112" spans="1:13" x14ac:dyDescent="0.25">
      <c r="A112" s="111" t="s">
        <v>391</v>
      </c>
      <c r="B112" s="112" t="s">
        <v>392</v>
      </c>
      <c r="C112" s="111"/>
      <c r="D112" s="111"/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</row>
    <row r="113" spans="1:13" x14ac:dyDescent="0.25">
      <c r="A113" s="328" t="s">
        <v>393</v>
      </c>
      <c r="B113" s="328"/>
      <c r="C113" s="328"/>
      <c r="D113" s="328"/>
      <c r="E113" s="114">
        <v>0</v>
      </c>
      <c r="F113" s="114">
        <v>0</v>
      </c>
      <c r="G113" s="114">
        <v>0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</row>
    <row r="114" spans="1:13" x14ac:dyDescent="0.25">
      <c r="A114" s="110" t="s">
        <v>394</v>
      </c>
      <c r="B114" s="329" t="s">
        <v>395</v>
      </c>
      <c r="C114" s="330"/>
      <c r="D114" s="330"/>
      <c r="E114" s="330"/>
      <c r="F114" s="330"/>
      <c r="G114" s="330"/>
      <c r="H114" s="330"/>
      <c r="I114" s="330"/>
      <c r="J114" s="330"/>
      <c r="K114" s="330"/>
      <c r="L114" s="330"/>
      <c r="M114" s="330"/>
    </row>
    <row r="115" spans="1:13" x14ac:dyDescent="0.25">
      <c r="A115" s="111" t="s">
        <v>396</v>
      </c>
      <c r="B115" s="112" t="s">
        <v>397</v>
      </c>
      <c r="C115" s="111"/>
      <c r="D115" s="111"/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</row>
    <row r="116" spans="1:13" x14ac:dyDescent="0.25">
      <c r="A116" s="328" t="s">
        <v>398</v>
      </c>
      <c r="B116" s="328"/>
      <c r="C116" s="328"/>
      <c r="D116" s="328"/>
      <c r="E116" s="114">
        <v>0</v>
      </c>
      <c r="F116" s="114">
        <v>0</v>
      </c>
      <c r="G116" s="114">
        <v>0</v>
      </c>
      <c r="H116" s="114">
        <v>0</v>
      </c>
      <c r="I116" s="114">
        <v>0</v>
      </c>
      <c r="J116" s="114">
        <v>0</v>
      </c>
      <c r="K116" s="114">
        <v>0</v>
      </c>
      <c r="L116" s="114">
        <v>0</v>
      </c>
      <c r="M116" s="114">
        <v>0</v>
      </c>
    </row>
    <row r="117" spans="1:13" x14ac:dyDescent="0.25">
      <c r="A117" s="110" t="s">
        <v>399</v>
      </c>
      <c r="B117" s="329" t="s">
        <v>400</v>
      </c>
      <c r="C117" s="330"/>
      <c r="D117" s="330"/>
      <c r="E117" s="330"/>
      <c r="F117" s="330"/>
      <c r="G117" s="330"/>
      <c r="H117" s="330"/>
      <c r="I117" s="330"/>
      <c r="J117" s="330"/>
      <c r="K117" s="330"/>
      <c r="L117" s="330"/>
      <c r="M117" s="330"/>
    </row>
    <row r="118" spans="1:13" x14ac:dyDescent="0.25">
      <c r="A118" s="111" t="s">
        <v>401</v>
      </c>
      <c r="B118" s="112" t="s">
        <v>402</v>
      </c>
      <c r="C118" s="111"/>
      <c r="D118" s="111"/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3">
        <v>0</v>
      </c>
      <c r="M118" s="113">
        <v>0</v>
      </c>
    </row>
    <row r="119" spans="1:13" x14ac:dyDescent="0.25">
      <c r="A119" s="328" t="s">
        <v>403</v>
      </c>
      <c r="B119" s="328"/>
      <c r="C119" s="328"/>
      <c r="D119" s="328"/>
      <c r="E119" s="114">
        <v>0</v>
      </c>
      <c r="F119" s="114">
        <v>0</v>
      </c>
      <c r="G119" s="114">
        <v>0</v>
      </c>
      <c r="H119" s="114">
        <v>0</v>
      </c>
      <c r="I119" s="114">
        <v>0</v>
      </c>
      <c r="J119" s="114">
        <v>0</v>
      </c>
      <c r="K119" s="114">
        <v>0</v>
      </c>
      <c r="L119" s="114">
        <v>0</v>
      </c>
      <c r="M119" s="114">
        <v>0</v>
      </c>
    </row>
    <row r="120" spans="1:13" ht="12.95" customHeight="1" x14ac:dyDescent="0.25">
      <c r="A120" s="110" t="s">
        <v>404</v>
      </c>
      <c r="B120" s="329" t="s">
        <v>405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0"/>
      <c r="M120" s="330"/>
    </row>
    <row r="121" spans="1:13" x14ac:dyDescent="0.25">
      <c r="A121" s="111" t="s">
        <v>406</v>
      </c>
      <c r="B121" s="112" t="s">
        <v>407</v>
      </c>
      <c r="C121" s="111"/>
      <c r="D121" s="111"/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</row>
    <row r="122" spans="1:13" x14ac:dyDescent="0.25">
      <c r="A122" s="328" t="s">
        <v>408</v>
      </c>
      <c r="B122" s="328"/>
      <c r="C122" s="328"/>
      <c r="D122" s="328"/>
      <c r="E122" s="114">
        <v>0</v>
      </c>
      <c r="F122" s="114">
        <v>0</v>
      </c>
      <c r="G122" s="114">
        <v>0</v>
      </c>
      <c r="H122" s="114">
        <v>0</v>
      </c>
      <c r="I122" s="114">
        <v>0</v>
      </c>
      <c r="J122" s="114">
        <v>0</v>
      </c>
      <c r="K122" s="114">
        <v>0</v>
      </c>
      <c r="L122" s="114">
        <v>0</v>
      </c>
      <c r="M122" s="114">
        <v>0</v>
      </c>
    </row>
    <row r="123" spans="1:13" x14ac:dyDescent="0.25">
      <c r="A123" s="110" t="s">
        <v>409</v>
      </c>
      <c r="B123" s="329" t="s">
        <v>410</v>
      </c>
      <c r="C123" s="330"/>
      <c r="D123" s="330"/>
      <c r="E123" s="330"/>
      <c r="F123" s="330"/>
      <c r="G123" s="330"/>
      <c r="H123" s="330"/>
      <c r="I123" s="330"/>
      <c r="J123" s="330"/>
      <c r="K123" s="330"/>
      <c r="L123" s="330"/>
      <c r="M123" s="330"/>
    </row>
    <row r="124" spans="1:13" x14ac:dyDescent="0.25">
      <c r="A124" s="111" t="s">
        <v>411</v>
      </c>
      <c r="B124" s="112" t="s">
        <v>412</v>
      </c>
      <c r="C124" s="111"/>
      <c r="D124" s="111"/>
      <c r="E124" s="113">
        <v>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  <c r="L124" s="113">
        <v>0</v>
      </c>
      <c r="M124" s="113">
        <v>0</v>
      </c>
    </row>
    <row r="125" spans="1:13" x14ac:dyDescent="0.25">
      <c r="A125" s="328" t="s">
        <v>413</v>
      </c>
      <c r="B125" s="328"/>
      <c r="C125" s="328"/>
      <c r="D125" s="328"/>
      <c r="E125" s="114">
        <v>0</v>
      </c>
      <c r="F125" s="114">
        <v>0</v>
      </c>
      <c r="G125" s="114">
        <v>0</v>
      </c>
      <c r="H125" s="114">
        <v>0</v>
      </c>
      <c r="I125" s="114">
        <v>0</v>
      </c>
      <c r="J125" s="114">
        <v>0</v>
      </c>
      <c r="K125" s="114">
        <v>0</v>
      </c>
      <c r="L125" s="114">
        <v>0</v>
      </c>
      <c r="M125" s="114">
        <v>0</v>
      </c>
    </row>
    <row r="126" spans="1:13" x14ac:dyDescent="0.25">
      <c r="A126" s="328" t="s">
        <v>414</v>
      </c>
      <c r="B126" s="328"/>
      <c r="C126" s="328"/>
      <c r="D126" s="328"/>
      <c r="E126" s="114">
        <v>71759000</v>
      </c>
      <c r="F126" s="114">
        <v>400000</v>
      </c>
      <c r="G126" s="114">
        <v>400000</v>
      </c>
      <c r="H126" s="114">
        <v>71759000</v>
      </c>
      <c r="I126" s="114">
        <f>I125+I122+I119+I116+I113+I109+I104+I99+I95+I88</f>
        <v>10777944</v>
      </c>
      <c r="J126" s="114">
        <f>J125+J122+J119+J116+J113+J109+J104+J99+J95+J88</f>
        <v>23747323</v>
      </c>
      <c r="K126" s="114">
        <f>K125+K122+K119+K116+K113+K109+K104+K99+K95+K88</f>
        <v>34525267</v>
      </c>
      <c r="L126" s="114">
        <v>0</v>
      </c>
      <c r="M126" s="114">
        <f>M125+M122+M119+M116+M113+M109+M104+M99+M95+M88</f>
        <v>-37233733</v>
      </c>
    </row>
    <row r="127" spans="1:13" x14ac:dyDescent="0.25">
      <c r="A127" s="109" t="s">
        <v>415</v>
      </c>
      <c r="B127" s="325" t="s">
        <v>416</v>
      </c>
      <c r="C127" s="326"/>
      <c r="D127" s="326"/>
      <c r="E127" s="326"/>
      <c r="F127" s="326"/>
      <c r="G127" s="326"/>
      <c r="H127" s="326"/>
      <c r="I127" s="326"/>
      <c r="J127" s="326"/>
      <c r="K127" s="326"/>
      <c r="L127" s="326"/>
      <c r="M127" s="327"/>
    </row>
    <row r="128" spans="1:13" ht="12.95" customHeight="1" x14ac:dyDescent="0.25">
      <c r="A128" s="110" t="s">
        <v>417</v>
      </c>
      <c r="B128" s="329" t="s">
        <v>418</v>
      </c>
      <c r="C128" s="330"/>
      <c r="D128" s="330"/>
      <c r="E128" s="330"/>
      <c r="F128" s="330"/>
      <c r="G128" s="330"/>
      <c r="H128" s="330"/>
      <c r="I128" s="330"/>
      <c r="J128" s="330"/>
      <c r="K128" s="330"/>
      <c r="L128" s="330"/>
      <c r="M128" s="330"/>
    </row>
    <row r="129" spans="1:13" x14ac:dyDescent="0.25">
      <c r="A129" s="111" t="s">
        <v>419</v>
      </c>
      <c r="B129" s="112" t="s">
        <v>167</v>
      </c>
      <c r="C129" s="111"/>
      <c r="D129" s="111"/>
      <c r="E129" s="113">
        <v>1400000</v>
      </c>
      <c r="F129" s="113">
        <v>0</v>
      </c>
      <c r="G129" s="113">
        <v>0</v>
      </c>
      <c r="H129" s="113">
        <v>1400000</v>
      </c>
      <c r="I129" s="113">
        <f>ROUND(1376592.57,0)</f>
        <v>1376593</v>
      </c>
      <c r="J129" s="113">
        <f t="shared" ref="J129:J137" si="30">K129-I129</f>
        <v>5177</v>
      </c>
      <c r="K129" s="116">
        <f>ROUND(1381770.29,0)</f>
        <v>1381770</v>
      </c>
      <c r="L129" s="113">
        <v>0</v>
      </c>
      <c r="M129" s="113">
        <f t="shared" ref="M129:M137" si="31">K129-H129</f>
        <v>-18230</v>
      </c>
    </row>
    <row r="130" spans="1:13" x14ac:dyDescent="0.25">
      <c r="A130" s="111" t="s">
        <v>420</v>
      </c>
      <c r="B130" s="112" t="s">
        <v>169</v>
      </c>
      <c r="C130" s="111"/>
      <c r="D130" s="111"/>
      <c r="E130" s="113">
        <v>350000</v>
      </c>
      <c r="F130" s="113">
        <v>70000</v>
      </c>
      <c r="G130" s="113">
        <v>0</v>
      </c>
      <c r="H130" s="113">
        <v>420000</v>
      </c>
      <c r="I130" s="113">
        <f>ROUND(387869.16,0)</f>
        <v>387869</v>
      </c>
      <c r="J130" s="113">
        <f t="shared" si="30"/>
        <v>1265</v>
      </c>
      <c r="K130" s="116">
        <f>ROUND(389134.27,0)</f>
        <v>389134</v>
      </c>
      <c r="L130" s="113">
        <v>0</v>
      </c>
      <c r="M130" s="113">
        <f t="shared" si="31"/>
        <v>-30866</v>
      </c>
    </row>
    <row r="131" spans="1:13" x14ac:dyDescent="0.25">
      <c r="A131" s="111" t="s">
        <v>421</v>
      </c>
      <c r="B131" s="112" t="s">
        <v>171</v>
      </c>
      <c r="C131" s="111"/>
      <c r="D131" s="111"/>
      <c r="E131" s="113">
        <v>5000</v>
      </c>
      <c r="F131" s="113">
        <v>0</v>
      </c>
      <c r="G131" s="113">
        <v>0</v>
      </c>
      <c r="H131" s="113">
        <v>5000</v>
      </c>
      <c r="I131" s="113">
        <f>ROUND(3510.15,0)</f>
        <v>3510</v>
      </c>
      <c r="J131" s="113">
        <f t="shared" si="30"/>
        <v>0</v>
      </c>
      <c r="K131" s="116">
        <f>ROUND(3510.15,0)</f>
        <v>3510</v>
      </c>
      <c r="L131" s="113">
        <v>0</v>
      </c>
      <c r="M131" s="113">
        <f t="shared" si="31"/>
        <v>-1490</v>
      </c>
    </row>
    <row r="132" spans="1:13" x14ac:dyDescent="0.25">
      <c r="A132" s="111" t="s">
        <v>422</v>
      </c>
      <c r="B132" s="112" t="s">
        <v>423</v>
      </c>
      <c r="C132" s="111"/>
      <c r="D132" s="111"/>
      <c r="E132" s="113">
        <v>0</v>
      </c>
      <c r="F132" s="113">
        <v>0</v>
      </c>
      <c r="G132" s="113">
        <v>0</v>
      </c>
      <c r="H132" s="113">
        <v>0</v>
      </c>
      <c r="I132" s="113">
        <v>0</v>
      </c>
      <c r="J132" s="113">
        <f t="shared" si="30"/>
        <v>0</v>
      </c>
      <c r="K132" s="116">
        <v>0</v>
      </c>
      <c r="L132" s="113">
        <v>0</v>
      </c>
      <c r="M132" s="113">
        <f t="shared" si="31"/>
        <v>0</v>
      </c>
    </row>
    <row r="133" spans="1:13" x14ac:dyDescent="0.25">
      <c r="A133" s="111" t="s">
        <v>424</v>
      </c>
      <c r="B133" s="112" t="s">
        <v>425</v>
      </c>
      <c r="C133" s="111"/>
      <c r="D133" s="111"/>
      <c r="E133" s="113">
        <v>0</v>
      </c>
      <c r="F133" s="113">
        <v>0</v>
      </c>
      <c r="G133" s="113">
        <v>0</v>
      </c>
      <c r="H133" s="113">
        <v>0</v>
      </c>
      <c r="I133" s="113">
        <v>0</v>
      </c>
      <c r="J133" s="113">
        <f t="shared" si="30"/>
        <v>0</v>
      </c>
      <c r="K133" s="116">
        <v>0</v>
      </c>
      <c r="L133" s="113">
        <v>0</v>
      </c>
      <c r="M133" s="113">
        <f t="shared" si="31"/>
        <v>0</v>
      </c>
    </row>
    <row r="134" spans="1:13" x14ac:dyDescent="0.25">
      <c r="A134" s="111" t="s">
        <v>426</v>
      </c>
      <c r="B134" s="112" t="s">
        <v>427</v>
      </c>
      <c r="C134" s="111"/>
      <c r="D134" s="111"/>
      <c r="E134" s="113">
        <v>40000</v>
      </c>
      <c r="F134" s="113">
        <v>0</v>
      </c>
      <c r="G134" s="113">
        <v>0</v>
      </c>
      <c r="H134" s="113">
        <v>40000</v>
      </c>
      <c r="I134" s="113">
        <f>ROUND(15186.34,0)</f>
        <v>15186</v>
      </c>
      <c r="J134" s="113">
        <f t="shared" si="30"/>
        <v>3677</v>
      </c>
      <c r="K134" s="116">
        <f>ROUND(18862.93,0)</f>
        <v>18863</v>
      </c>
      <c r="L134" s="113">
        <v>0</v>
      </c>
      <c r="M134" s="113">
        <f t="shared" si="31"/>
        <v>-21137</v>
      </c>
    </row>
    <row r="135" spans="1:13" x14ac:dyDescent="0.25">
      <c r="A135" s="111" t="s">
        <v>428</v>
      </c>
      <c r="B135" s="112" t="s">
        <v>179</v>
      </c>
      <c r="C135" s="111"/>
      <c r="D135" s="111"/>
      <c r="E135" s="113">
        <v>20000</v>
      </c>
      <c r="F135" s="113">
        <v>10000</v>
      </c>
      <c r="G135" s="113">
        <v>0</v>
      </c>
      <c r="H135" s="113">
        <v>30000</v>
      </c>
      <c r="I135" s="113">
        <f>ROUND(25651.1,0)</f>
        <v>25651</v>
      </c>
      <c r="J135" s="113">
        <f t="shared" si="30"/>
        <v>1972</v>
      </c>
      <c r="K135" s="116">
        <f>ROUND(27623.1,0)</f>
        <v>27623</v>
      </c>
      <c r="L135" s="113">
        <v>0</v>
      </c>
      <c r="M135" s="113">
        <f t="shared" si="31"/>
        <v>-2377</v>
      </c>
    </row>
    <row r="136" spans="1:13" x14ac:dyDescent="0.25">
      <c r="A136" s="111" t="s">
        <v>429</v>
      </c>
      <c r="B136" s="112" t="s">
        <v>430</v>
      </c>
      <c r="C136" s="111"/>
      <c r="D136" s="111"/>
      <c r="E136" s="113">
        <v>22500</v>
      </c>
      <c r="F136" s="113">
        <v>0</v>
      </c>
      <c r="G136" s="113">
        <v>0</v>
      </c>
      <c r="H136" s="113">
        <v>22500</v>
      </c>
      <c r="I136" s="113">
        <v>20000</v>
      </c>
      <c r="J136" s="113">
        <f t="shared" si="30"/>
        <v>0</v>
      </c>
      <c r="K136" s="116">
        <v>20000</v>
      </c>
      <c r="L136" s="113">
        <v>0</v>
      </c>
      <c r="M136" s="113">
        <f t="shared" si="31"/>
        <v>-2500</v>
      </c>
    </row>
    <row r="137" spans="1:13" x14ac:dyDescent="0.25">
      <c r="A137" s="111" t="s">
        <v>431</v>
      </c>
      <c r="B137" s="345" t="s">
        <v>183</v>
      </c>
      <c r="C137" s="345"/>
      <c r="D137" s="345"/>
      <c r="E137" s="113">
        <v>1000000</v>
      </c>
      <c r="F137" s="113">
        <v>0</v>
      </c>
      <c r="G137" s="113">
        <v>80000</v>
      </c>
      <c r="H137" s="113">
        <v>920000</v>
      </c>
      <c r="I137" s="113">
        <f>ROUND(449829.71,0)</f>
        <v>449830</v>
      </c>
      <c r="J137" s="113">
        <f t="shared" si="30"/>
        <v>322401</v>
      </c>
      <c r="K137" s="116">
        <f>ROUND(772230.52,0)</f>
        <v>772231</v>
      </c>
      <c r="L137" s="113">
        <v>0</v>
      </c>
      <c r="M137" s="113">
        <f t="shared" si="31"/>
        <v>-147769</v>
      </c>
    </row>
    <row r="138" spans="1:13" x14ac:dyDescent="0.25">
      <c r="A138" s="328" t="s">
        <v>432</v>
      </c>
      <c r="B138" s="346"/>
      <c r="C138" s="346"/>
      <c r="D138" s="346"/>
      <c r="E138" s="114">
        <v>2837500</v>
      </c>
      <c r="F138" s="114">
        <v>80000</v>
      </c>
      <c r="G138" s="114">
        <v>80000</v>
      </c>
      <c r="H138" s="114">
        <v>2837500</v>
      </c>
      <c r="I138" s="114">
        <f>SUM(I129:I137)</f>
        <v>2278639</v>
      </c>
      <c r="J138" s="114">
        <f>SUM(J129:J137)</f>
        <v>334492</v>
      </c>
      <c r="K138" s="114">
        <f>SUM(K129:K137)</f>
        <v>2613131</v>
      </c>
      <c r="L138" s="114">
        <v>0</v>
      </c>
      <c r="M138" s="114">
        <f>SUM(M129:M137)</f>
        <v>-224369</v>
      </c>
    </row>
    <row r="139" spans="1:13" x14ac:dyDescent="0.25">
      <c r="A139" s="328" t="s">
        <v>433</v>
      </c>
      <c r="B139" s="328"/>
      <c r="C139" s="328"/>
      <c r="D139" s="328"/>
      <c r="E139" s="114">
        <v>2837500</v>
      </c>
      <c r="F139" s="114">
        <v>80000</v>
      </c>
      <c r="G139" s="114">
        <v>80000</v>
      </c>
      <c r="H139" s="114">
        <v>2837500</v>
      </c>
      <c r="I139" s="114">
        <f>I138</f>
        <v>2278639</v>
      </c>
      <c r="J139" s="114">
        <f>J138</f>
        <v>334492</v>
      </c>
      <c r="K139" s="114">
        <f>K138</f>
        <v>2613131</v>
      </c>
      <c r="L139" s="114">
        <v>0</v>
      </c>
      <c r="M139" s="114">
        <f>M138</f>
        <v>-224369</v>
      </c>
    </row>
    <row r="140" spans="1:13" x14ac:dyDescent="0.25">
      <c r="A140" s="328" t="s">
        <v>186</v>
      </c>
      <c r="B140" s="328"/>
      <c r="C140" s="328"/>
      <c r="D140" s="328"/>
      <c r="E140" s="114">
        <v>88615217</v>
      </c>
      <c r="F140" s="114">
        <v>1935310</v>
      </c>
      <c r="G140" s="114">
        <v>1690210</v>
      </c>
      <c r="H140" s="114">
        <v>88860317</v>
      </c>
      <c r="I140" s="114">
        <f>I139+I126+I81</f>
        <v>23636122</v>
      </c>
      <c r="J140" s="114">
        <f>J139+J126+J81</f>
        <v>26141717</v>
      </c>
      <c r="K140" s="114">
        <f>K139+K126+K81</f>
        <v>49777839</v>
      </c>
      <c r="L140" s="114">
        <v>0</v>
      </c>
      <c r="M140" s="114">
        <f>M139+M126+M81</f>
        <v>-39082478</v>
      </c>
    </row>
  </sheetData>
  <mergeCells count="65">
    <mergeCell ref="B8:M8"/>
    <mergeCell ref="A1:M1"/>
    <mergeCell ref="A2:M2"/>
    <mergeCell ref="A3:M3"/>
    <mergeCell ref="A4:M4"/>
    <mergeCell ref="A5:D5"/>
    <mergeCell ref="E5:M5"/>
    <mergeCell ref="A6:D6"/>
    <mergeCell ref="E6:H6"/>
    <mergeCell ref="I6:K6"/>
    <mergeCell ref="L6:M6"/>
    <mergeCell ref="B7:D7"/>
    <mergeCell ref="A59:D59"/>
    <mergeCell ref="B9:M9"/>
    <mergeCell ref="A13:D13"/>
    <mergeCell ref="B14:M14"/>
    <mergeCell ref="A24:D24"/>
    <mergeCell ref="B25:M25"/>
    <mergeCell ref="A44:D44"/>
    <mergeCell ref="B45:M45"/>
    <mergeCell ref="A51:D51"/>
    <mergeCell ref="B52:M52"/>
    <mergeCell ref="A56:D56"/>
    <mergeCell ref="B57:M57"/>
    <mergeCell ref="A80:D80"/>
    <mergeCell ref="B60:M60"/>
    <mergeCell ref="A62:D62"/>
    <mergeCell ref="B63:M63"/>
    <mergeCell ref="A65:D65"/>
    <mergeCell ref="B66:M66"/>
    <mergeCell ref="A71:D71"/>
    <mergeCell ref="B72:M72"/>
    <mergeCell ref="A74:D74"/>
    <mergeCell ref="B75:M75"/>
    <mergeCell ref="A77:D77"/>
    <mergeCell ref="B78:M78"/>
    <mergeCell ref="A109:D109"/>
    <mergeCell ref="A81:D81"/>
    <mergeCell ref="B82:M82"/>
    <mergeCell ref="B83:M83"/>
    <mergeCell ref="A88:D88"/>
    <mergeCell ref="B89:M89"/>
    <mergeCell ref="A95:D95"/>
    <mergeCell ref="B96:M96"/>
    <mergeCell ref="A99:D99"/>
    <mergeCell ref="B100:M100"/>
    <mergeCell ref="A104:D104"/>
    <mergeCell ref="B105:M105"/>
    <mergeCell ref="B127:M127"/>
    <mergeCell ref="B110:M110"/>
    <mergeCell ref="A113:D113"/>
    <mergeCell ref="B114:M114"/>
    <mergeCell ref="A116:D116"/>
    <mergeCell ref="B117:M117"/>
    <mergeCell ref="A119:D119"/>
    <mergeCell ref="B120:M120"/>
    <mergeCell ref="A122:D122"/>
    <mergeCell ref="B123:M123"/>
    <mergeCell ref="A125:D125"/>
    <mergeCell ref="A126:D126"/>
    <mergeCell ref="B128:M128"/>
    <mergeCell ref="B137:D137"/>
    <mergeCell ref="A138:D138"/>
    <mergeCell ref="A139:D139"/>
    <mergeCell ref="A140:D140"/>
  </mergeCells>
  <pageMargins left="0.34722222222222221" right="0.34722222222222221" top="0.34722222222222221" bottom="0.34722222222222221" header="0.27777777777777779" footer="0.1388888888888889"/>
  <pageSetup paperSize="9" scale="70" orientation="landscape" r:id="rId1"/>
  <headerFoot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43"/>
  <sheetViews>
    <sheetView topLeftCell="A107" workbookViewId="0">
      <selection activeCell="T132" sqref="T132"/>
    </sheetView>
  </sheetViews>
  <sheetFormatPr defaultColWidth="9.140625" defaultRowHeight="12.75" x14ac:dyDescent="0.25"/>
  <cols>
    <col min="1" max="1" width="9.7109375" style="2" customWidth="1"/>
    <col min="2" max="2" width="43.7109375" style="2" customWidth="1"/>
    <col min="3" max="4" width="0" style="2" hidden="1" customWidth="1"/>
    <col min="5" max="10" width="12.7109375" style="2" customWidth="1"/>
    <col min="11" max="11" width="13.42578125" style="2" bestFit="1" customWidth="1"/>
    <col min="12" max="14" width="12.7109375" style="2" customWidth="1"/>
    <col min="15" max="15" width="0" style="2" hidden="1" customWidth="1"/>
    <col min="16" max="16" width="12.7109375" style="2" customWidth="1"/>
    <col min="17" max="17" width="12.28515625" style="2" hidden="1" customWidth="1"/>
    <col min="18" max="18" width="13.42578125" style="2" hidden="1" customWidth="1"/>
    <col min="19" max="16384" width="9.140625" style="2"/>
  </cols>
  <sheetData>
    <row r="1" spans="1:17" s="1" customFormat="1" ht="18.75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</row>
    <row r="2" spans="1:17" s="1" customFormat="1" ht="15" x14ac:dyDescent="0.25">
      <c r="A2" s="339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s="1" customFormat="1" ht="15" x14ac:dyDescent="0.25">
      <c r="A3" s="340" t="s">
        <v>784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7" s="1" customFormat="1" ht="15" x14ac:dyDescent="0.25">
      <c r="A4" s="339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</row>
    <row r="5" spans="1:17" s="1" customFormat="1" ht="15" x14ac:dyDescent="0.25">
      <c r="A5" s="342" t="s">
        <v>2</v>
      </c>
      <c r="B5" s="343"/>
      <c r="C5" s="343"/>
      <c r="D5" s="344"/>
      <c r="E5" s="332" t="s">
        <v>434</v>
      </c>
      <c r="F5" s="343"/>
      <c r="G5" s="343"/>
      <c r="H5" s="343"/>
      <c r="I5" s="343"/>
      <c r="J5" s="344"/>
      <c r="K5" s="332" t="s">
        <v>188</v>
      </c>
      <c r="L5" s="343"/>
      <c r="M5" s="343"/>
      <c r="N5" s="344"/>
      <c r="O5" s="360"/>
      <c r="P5" s="361"/>
    </row>
    <row r="6" spans="1:17" s="1" customFormat="1" ht="14.45" customHeight="1" x14ac:dyDescent="0.25">
      <c r="A6" s="331"/>
      <c r="B6" s="332"/>
      <c r="C6" s="332"/>
      <c r="D6" s="332"/>
      <c r="E6" s="331"/>
      <c r="F6" s="343"/>
      <c r="G6" s="343"/>
      <c r="H6" s="343"/>
      <c r="I6" s="333" t="s">
        <v>189</v>
      </c>
      <c r="J6" s="344"/>
      <c r="K6" s="356"/>
      <c r="L6" s="343"/>
      <c r="M6" s="335" t="s">
        <v>190</v>
      </c>
      <c r="N6" s="357"/>
      <c r="O6" s="358"/>
      <c r="P6" s="359"/>
    </row>
    <row r="7" spans="1:17" ht="25.5" x14ac:dyDescent="0.25">
      <c r="A7" s="107" t="s">
        <v>7</v>
      </c>
      <c r="B7" s="107" t="s">
        <v>8</v>
      </c>
      <c r="C7" s="107"/>
      <c r="D7" s="107"/>
      <c r="E7" s="108" t="s">
        <v>191</v>
      </c>
      <c r="F7" s="107" t="s">
        <v>199</v>
      </c>
      <c r="G7" s="108" t="s">
        <v>200</v>
      </c>
      <c r="H7" s="107" t="s">
        <v>192</v>
      </c>
      <c r="I7" s="108" t="s">
        <v>193</v>
      </c>
      <c r="J7" s="108" t="s">
        <v>194</v>
      </c>
      <c r="K7" s="108" t="s">
        <v>12</v>
      </c>
      <c r="L7" s="107" t="s">
        <v>199</v>
      </c>
      <c r="M7" s="108" t="s">
        <v>195</v>
      </c>
      <c r="N7" s="108" t="s">
        <v>196</v>
      </c>
      <c r="O7" s="335" t="s">
        <v>197</v>
      </c>
      <c r="P7" s="355"/>
    </row>
    <row r="8" spans="1:17" x14ac:dyDescent="0.25">
      <c r="A8" s="109" t="s">
        <v>202</v>
      </c>
      <c r="B8" s="352" t="s">
        <v>203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</row>
    <row r="9" spans="1:17" x14ac:dyDescent="0.25">
      <c r="A9" s="110" t="s">
        <v>204</v>
      </c>
      <c r="B9" s="329" t="s">
        <v>205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</row>
    <row r="10" spans="1:17" ht="25.5" x14ac:dyDescent="0.25">
      <c r="A10" s="111" t="s">
        <v>206</v>
      </c>
      <c r="B10" s="112" t="s">
        <v>207</v>
      </c>
      <c r="C10" s="111"/>
      <c r="D10" s="111"/>
      <c r="E10" s="113">
        <v>612</v>
      </c>
      <c r="F10" s="113">
        <v>612</v>
      </c>
      <c r="G10" s="113">
        <v>0</v>
      </c>
      <c r="H10" s="113">
        <f>E10</f>
        <v>612</v>
      </c>
      <c r="I10" s="113">
        <v>0</v>
      </c>
      <c r="J10" s="113">
        <v>0</v>
      </c>
      <c r="K10" s="113">
        <f>H10+'[5]Stampa rendiconto PI - USCITE'!H10</f>
        <v>300062</v>
      </c>
      <c r="L10" s="113">
        <f>F10+'[5]Stampa rendiconto PI - USCITE'!I10</f>
        <v>257515</v>
      </c>
      <c r="M10" s="113">
        <v>0</v>
      </c>
      <c r="N10" s="113">
        <f>K10-L10</f>
        <v>42547</v>
      </c>
      <c r="O10" s="348">
        <f>G10+'[5]Stampa rendiconto PI - USCITE'!J10</f>
        <v>843</v>
      </c>
      <c r="P10" s="349"/>
    </row>
    <row r="11" spans="1:17" ht="25.5" x14ac:dyDescent="0.25">
      <c r="A11" s="111" t="s">
        <v>208</v>
      </c>
      <c r="B11" s="112" t="s">
        <v>209</v>
      </c>
      <c r="C11" s="111"/>
      <c r="D11" s="111"/>
      <c r="E11" s="113">
        <v>0</v>
      </c>
      <c r="F11" s="113">
        <v>0</v>
      </c>
      <c r="G11" s="113">
        <v>0</v>
      </c>
      <c r="H11" s="113">
        <f t="shared" ref="H11:H13" si="0">E11</f>
        <v>0</v>
      </c>
      <c r="I11" s="113">
        <v>0</v>
      </c>
      <c r="J11" s="113">
        <v>0</v>
      </c>
      <c r="K11" s="113">
        <f>H11+'[5]Stampa rendiconto PI - USCITE'!H11</f>
        <v>7501</v>
      </c>
      <c r="L11" s="113">
        <f>F11+'[5]Stampa rendiconto PI - USCITE'!I11</f>
        <v>480</v>
      </c>
      <c r="M11" s="113">
        <v>0</v>
      </c>
      <c r="N11" s="113">
        <f t="shared" ref="N11:N12" si="1">K11-L11</f>
        <v>7021</v>
      </c>
      <c r="O11" s="348">
        <f>G11+'[5]Stampa rendiconto PI - USCITE'!J11</f>
        <v>0</v>
      </c>
      <c r="P11" s="349"/>
    </row>
    <row r="12" spans="1:17" ht="25.5" x14ac:dyDescent="0.25">
      <c r="A12" s="111" t="s">
        <v>210</v>
      </c>
      <c r="B12" s="112" t="s">
        <v>211</v>
      </c>
      <c r="C12" s="111"/>
      <c r="D12" s="111"/>
      <c r="E12" s="113">
        <v>25937</v>
      </c>
      <c r="F12" s="113">
        <f>ROUND(24944.74,0)</f>
        <v>24945</v>
      </c>
      <c r="G12" s="113">
        <f>H12-F12</f>
        <v>992</v>
      </c>
      <c r="H12" s="113">
        <f t="shared" si="0"/>
        <v>25937</v>
      </c>
      <c r="I12" s="113">
        <v>0</v>
      </c>
      <c r="J12" s="113">
        <v>0</v>
      </c>
      <c r="K12" s="113">
        <f>H12+'[5]Stampa rendiconto PI - USCITE'!H12</f>
        <v>109137</v>
      </c>
      <c r="L12" s="113">
        <f>F12+'[5]Stampa rendiconto PI - USCITE'!I12</f>
        <v>77497</v>
      </c>
      <c r="M12" s="113">
        <v>0</v>
      </c>
      <c r="N12" s="113">
        <f t="shared" si="1"/>
        <v>31640</v>
      </c>
      <c r="O12" s="348">
        <f>G12+'[5]Stampa rendiconto PI - USCITE'!J12</f>
        <v>9956</v>
      </c>
      <c r="P12" s="349"/>
    </row>
    <row r="13" spans="1:17" x14ac:dyDescent="0.25">
      <c r="A13" s="328" t="s">
        <v>212</v>
      </c>
      <c r="B13" s="328"/>
      <c r="C13" s="328"/>
      <c r="D13" s="328"/>
      <c r="E13" s="114">
        <f>SUM(E10:E12)</f>
        <v>26549</v>
      </c>
      <c r="F13" s="114">
        <f>SUM(F10:F12)</f>
        <v>25557</v>
      </c>
      <c r="G13" s="114">
        <f>SUM(G10:G12)</f>
        <v>992</v>
      </c>
      <c r="H13" s="114">
        <f t="shared" si="0"/>
        <v>26549</v>
      </c>
      <c r="I13" s="114">
        <v>0</v>
      </c>
      <c r="J13" s="114">
        <v>0</v>
      </c>
      <c r="K13" s="114">
        <f>SUM(K10:K12)</f>
        <v>416700</v>
      </c>
      <c r="L13" s="114">
        <f>SUM(L10:L12)</f>
        <v>335492</v>
      </c>
      <c r="M13" s="114">
        <v>0</v>
      </c>
      <c r="N13" s="114">
        <f>SUM(N10:N12)</f>
        <v>81208</v>
      </c>
      <c r="O13" s="350">
        <f>SUM(O10:P12)</f>
        <v>10799</v>
      </c>
      <c r="P13" s="351"/>
      <c r="Q13" s="3">
        <f>P13+J13</f>
        <v>0</v>
      </c>
    </row>
    <row r="14" spans="1:17" ht="12.95" customHeight="1" x14ac:dyDescent="0.25">
      <c r="A14" s="110" t="s">
        <v>213</v>
      </c>
      <c r="B14" s="329" t="s">
        <v>214</v>
      </c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</row>
    <row r="15" spans="1:17" x14ac:dyDescent="0.25">
      <c r="A15" s="111" t="s">
        <v>215</v>
      </c>
      <c r="B15" s="112" t="s">
        <v>216</v>
      </c>
      <c r="C15" s="111"/>
      <c r="D15" s="111"/>
      <c r="E15" s="113">
        <v>0</v>
      </c>
      <c r="F15" s="113">
        <v>0</v>
      </c>
      <c r="G15" s="113">
        <f t="shared" ref="G15:G23" si="2">H15-F15</f>
        <v>0</v>
      </c>
      <c r="H15" s="113">
        <f>E15</f>
        <v>0</v>
      </c>
      <c r="I15" s="113">
        <v>0</v>
      </c>
      <c r="J15" s="113">
        <v>0</v>
      </c>
      <c r="K15" s="113">
        <f>H15+'[5]Stampa rendiconto PI - USCITE'!H15</f>
        <v>147600</v>
      </c>
      <c r="L15" s="113">
        <f>F15+'[5]Stampa rendiconto PI - USCITE'!I15</f>
        <v>147235</v>
      </c>
      <c r="M15" s="113">
        <v>0</v>
      </c>
      <c r="N15" s="113">
        <f t="shared" ref="N15:N23" si="3">K15-L15</f>
        <v>365</v>
      </c>
      <c r="O15" s="348">
        <f>G15+'[5]Stampa rendiconto PI - USCITE'!J15</f>
        <v>364</v>
      </c>
      <c r="P15" s="349"/>
    </row>
    <row r="16" spans="1:17" x14ac:dyDescent="0.25">
      <c r="A16" s="111" t="s">
        <v>217</v>
      </c>
      <c r="B16" s="112" t="s">
        <v>218</v>
      </c>
      <c r="C16" s="111"/>
      <c r="D16" s="111"/>
      <c r="E16" s="113">
        <v>797</v>
      </c>
      <c r="F16" s="113">
        <v>797</v>
      </c>
      <c r="G16" s="113">
        <f t="shared" si="2"/>
        <v>0</v>
      </c>
      <c r="H16" s="113">
        <f t="shared" ref="H16:H23" si="4">E16</f>
        <v>797</v>
      </c>
      <c r="I16" s="113">
        <v>0</v>
      </c>
      <c r="J16" s="113">
        <v>0</v>
      </c>
      <c r="K16" s="113">
        <f>H16+'[5]Stampa rendiconto PI - USCITE'!H16</f>
        <v>1879543</v>
      </c>
      <c r="L16" s="113">
        <f>F16+'[5]Stampa rendiconto PI - USCITE'!I16</f>
        <v>1865200</v>
      </c>
      <c r="M16" s="113">
        <v>0</v>
      </c>
      <c r="N16" s="113">
        <f t="shared" si="3"/>
        <v>14343</v>
      </c>
      <c r="O16" s="348">
        <f>G16+'[5]Stampa rendiconto PI - USCITE'!J16</f>
        <v>11652</v>
      </c>
      <c r="P16" s="349"/>
    </row>
    <row r="17" spans="1:16" x14ac:dyDescent="0.25">
      <c r="A17" s="111" t="s">
        <v>219</v>
      </c>
      <c r="B17" s="112" t="s">
        <v>220</v>
      </c>
      <c r="C17" s="111"/>
      <c r="D17" s="111"/>
      <c r="E17" s="113">
        <v>0</v>
      </c>
      <c r="F17" s="113">
        <v>0</v>
      </c>
      <c r="G17" s="113">
        <f t="shared" si="2"/>
        <v>0</v>
      </c>
      <c r="H17" s="113">
        <f t="shared" si="4"/>
        <v>0</v>
      </c>
      <c r="I17" s="113">
        <v>0</v>
      </c>
      <c r="J17" s="113">
        <v>0</v>
      </c>
      <c r="K17" s="113">
        <f>H17+'[5]Stampa rendiconto PI - USCITE'!H17</f>
        <v>29648</v>
      </c>
      <c r="L17" s="113">
        <f>F17+'[5]Stampa rendiconto PI - USCITE'!I17</f>
        <v>29599</v>
      </c>
      <c r="M17" s="113">
        <v>0</v>
      </c>
      <c r="N17" s="113">
        <f t="shared" si="3"/>
        <v>49</v>
      </c>
      <c r="O17" s="348">
        <f>G17+'[5]Stampa rendiconto PI - USCITE'!J17</f>
        <v>0</v>
      </c>
      <c r="P17" s="349"/>
    </row>
    <row r="18" spans="1:16" x14ac:dyDescent="0.25">
      <c r="A18" s="111" t="s">
        <v>221</v>
      </c>
      <c r="B18" s="112" t="s">
        <v>222</v>
      </c>
      <c r="C18" s="111"/>
      <c r="D18" s="111"/>
      <c r="E18" s="113">
        <v>86</v>
      </c>
      <c r="F18" s="113">
        <v>86</v>
      </c>
      <c r="G18" s="113">
        <f t="shared" si="2"/>
        <v>0</v>
      </c>
      <c r="H18" s="113">
        <f t="shared" si="4"/>
        <v>86</v>
      </c>
      <c r="I18" s="113">
        <v>0</v>
      </c>
      <c r="J18" s="113">
        <v>0</v>
      </c>
      <c r="K18" s="113">
        <f>H18+'[5]Stampa rendiconto PI - USCITE'!H18</f>
        <v>14108</v>
      </c>
      <c r="L18" s="113">
        <f>F18+'[5]Stampa rendiconto PI - USCITE'!I18</f>
        <v>6611</v>
      </c>
      <c r="M18" s="113">
        <v>0</v>
      </c>
      <c r="N18" s="113">
        <f t="shared" si="3"/>
        <v>7497</v>
      </c>
      <c r="O18" s="348">
        <f>G18+'[5]Stampa rendiconto PI - USCITE'!J18</f>
        <v>258</v>
      </c>
      <c r="P18" s="349"/>
    </row>
    <row r="19" spans="1:16" x14ac:dyDescent="0.25">
      <c r="A19" s="111" t="s">
        <v>223</v>
      </c>
      <c r="B19" s="112" t="s">
        <v>224</v>
      </c>
      <c r="C19" s="111"/>
      <c r="D19" s="111"/>
      <c r="E19" s="113">
        <v>0</v>
      </c>
      <c r="F19" s="113">
        <v>0</v>
      </c>
      <c r="G19" s="113">
        <f t="shared" si="2"/>
        <v>0</v>
      </c>
      <c r="H19" s="113">
        <f t="shared" si="4"/>
        <v>0</v>
      </c>
      <c r="I19" s="113">
        <v>0</v>
      </c>
      <c r="J19" s="113">
        <v>0</v>
      </c>
      <c r="K19" s="113">
        <f>H19+'[5]Stampa rendiconto PI - USCITE'!H19</f>
        <v>0</v>
      </c>
      <c r="L19" s="113">
        <f>F19+'[5]Stampa rendiconto PI - USCITE'!I19</f>
        <v>0</v>
      </c>
      <c r="M19" s="113">
        <v>0</v>
      </c>
      <c r="N19" s="113">
        <f t="shared" si="3"/>
        <v>0</v>
      </c>
      <c r="O19" s="348">
        <f>G19+'[5]Stampa rendiconto PI - USCITE'!J19</f>
        <v>0</v>
      </c>
      <c r="P19" s="349"/>
    </row>
    <row r="20" spans="1:16" ht="25.5" x14ac:dyDescent="0.25">
      <c r="A20" s="111" t="s">
        <v>225</v>
      </c>
      <c r="B20" s="112" t="s">
        <v>226</v>
      </c>
      <c r="C20" s="111"/>
      <c r="D20" s="111"/>
      <c r="E20" s="113">
        <v>16990</v>
      </c>
      <c r="F20" s="113">
        <f>ROUND(13045.5,0)</f>
        <v>13046</v>
      </c>
      <c r="G20" s="113">
        <f>H20-F20</f>
        <v>3944</v>
      </c>
      <c r="H20" s="113">
        <f t="shared" si="4"/>
        <v>16990</v>
      </c>
      <c r="I20" s="113">
        <v>0</v>
      </c>
      <c r="J20" s="113">
        <v>0</v>
      </c>
      <c r="K20" s="113">
        <f>H20+'[5]Stampa rendiconto PI - USCITE'!H20</f>
        <v>63175</v>
      </c>
      <c r="L20" s="113">
        <f>F20+'[5]Stampa rendiconto PI - USCITE'!I20</f>
        <v>40431</v>
      </c>
      <c r="M20" s="113">
        <v>0</v>
      </c>
      <c r="N20" s="113">
        <f t="shared" si="3"/>
        <v>22744</v>
      </c>
      <c r="O20" s="348">
        <f>G20+'[5]Stampa rendiconto PI - USCITE'!J20</f>
        <v>21754</v>
      </c>
      <c r="P20" s="349"/>
    </row>
    <row r="21" spans="1:16" ht="25.5" x14ac:dyDescent="0.25">
      <c r="A21" s="111" t="s">
        <v>227</v>
      </c>
      <c r="B21" s="112" t="s">
        <v>228</v>
      </c>
      <c r="C21" s="111"/>
      <c r="D21" s="111"/>
      <c r="E21" s="113">
        <v>6384</v>
      </c>
      <c r="F21" s="113">
        <f>ROUND(6384.07,0)</f>
        <v>6384</v>
      </c>
      <c r="G21" s="113">
        <f t="shared" si="2"/>
        <v>0</v>
      </c>
      <c r="H21" s="113">
        <f t="shared" si="4"/>
        <v>6384</v>
      </c>
      <c r="I21" s="113">
        <v>0</v>
      </c>
      <c r="J21" s="113">
        <v>0</v>
      </c>
      <c r="K21" s="113">
        <f>H21+'[5]Stampa rendiconto PI - USCITE'!H21</f>
        <v>1054979</v>
      </c>
      <c r="L21" s="113">
        <f>F21+'[5]Stampa rendiconto PI - USCITE'!I21</f>
        <v>1039637</v>
      </c>
      <c r="M21" s="113">
        <v>0</v>
      </c>
      <c r="N21" s="113">
        <f t="shared" si="3"/>
        <v>15342</v>
      </c>
      <c r="O21" s="348">
        <f>G21+'[5]Stampa rendiconto PI - USCITE'!J21</f>
        <v>11205</v>
      </c>
      <c r="P21" s="349"/>
    </row>
    <row r="22" spans="1:16" x14ac:dyDescent="0.25">
      <c r="A22" s="111" t="s">
        <v>229</v>
      </c>
      <c r="B22" s="112" t="s">
        <v>230</v>
      </c>
      <c r="C22" s="111"/>
      <c r="D22" s="111"/>
      <c r="E22" s="113">
        <v>0</v>
      </c>
      <c r="F22" s="113">
        <v>0</v>
      </c>
      <c r="G22" s="113">
        <f t="shared" si="2"/>
        <v>0</v>
      </c>
      <c r="H22" s="113">
        <f t="shared" si="4"/>
        <v>0</v>
      </c>
      <c r="I22" s="113">
        <v>0</v>
      </c>
      <c r="J22" s="113">
        <v>0</v>
      </c>
      <c r="K22" s="113">
        <f>H22+'[5]Stampa rendiconto PI - USCITE'!H22</f>
        <v>1848623</v>
      </c>
      <c r="L22" s="113">
        <f>F22+'[5]Stampa rendiconto PI - USCITE'!I22</f>
        <v>1847161</v>
      </c>
      <c r="M22" s="113">
        <v>0</v>
      </c>
      <c r="N22" s="113">
        <f t="shared" si="3"/>
        <v>1462</v>
      </c>
      <c r="O22" s="348">
        <f>G22+'[5]Stampa rendiconto PI - USCITE'!J22</f>
        <v>0</v>
      </c>
      <c r="P22" s="349"/>
    </row>
    <row r="23" spans="1:16" x14ac:dyDescent="0.25">
      <c r="A23" s="111" t="s">
        <v>231</v>
      </c>
      <c r="B23" s="112" t="s">
        <v>232</v>
      </c>
      <c r="C23" s="111"/>
      <c r="D23" s="111"/>
      <c r="E23" s="113">
        <v>0</v>
      </c>
      <c r="F23" s="113">
        <v>0</v>
      </c>
      <c r="G23" s="113">
        <f t="shared" si="2"/>
        <v>0</v>
      </c>
      <c r="H23" s="113">
        <f t="shared" si="4"/>
        <v>0</v>
      </c>
      <c r="I23" s="113">
        <v>0</v>
      </c>
      <c r="J23" s="113">
        <v>0</v>
      </c>
      <c r="K23" s="113">
        <f>H23+'[5]Stampa rendiconto PI - USCITE'!H23</f>
        <v>0</v>
      </c>
      <c r="L23" s="113">
        <f>F23+'[5]Stampa rendiconto PI - USCITE'!I23</f>
        <v>0</v>
      </c>
      <c r="M23" s="113">
        <v>0</v>
      </c>
      <c r="N23" s="113">
        <f t="shared" si="3"/>
        <v>0</v>
      </c>
      <c r="O23" s="348">
        <f>G23+'[5]Stampa rendiconto PI - USCITE'!J23</f>
        <v>0</v>
      </c>
      <c r="P23" s="349"/>
    </row>
    <row r="24" spans="1:16" x14ac:dyDescent="0.25">
      <c r="A24" s="328" t="s">
        <v>233</v>
      </c>
      <c r="B24" s="328"/>
      <c r="C24" s="328"/>
      <c r="D24" s="328"/>
      <c r="E24" s="114">
        <f>SUM(E15:E23)</f>
        <v>24257</v>
      </c>
      <c r="F24" s="114">
        <f>SUM(F15:F23)</f>
        <v>20313</v>
      </c>
      <c r="G24" s="114">
        <f>SUM(G15:G23)</f>
        <v>3944</v>
      </c>
      <c r="H24" s="114">
        <f>SUM(H15:H23)</f>
        <v>24257</v>
      </c>
      <c r="I24" s="114">
        <v>0</v>
      </c>
      <c r="J24" s="114">
        <v>0</v>
      </c>
      <c r="K24" s="114">
        <f>SUM(K15:K23)</f>
        <v>5037676</v>
      </c>
      <c r="L24" s="114">
        <f>SUM(L15:L23)</f>
        <v>4975874</v>
      </c>
      <c r="M24" s="114">
        <v>0</v>
      </c>
      <c r="N24" s="114">
        <f>SUM(N15:N23)</f>
        <v>61802</v>
      </c>
      <c r="O24" s="350">
        <f>SUM(O15:P23)</f>
        <v>45233</v>
      </c>
      <c r="P24" s="351"/>
    </row>
    <row r="25" spans="1:16" ht="12.95" customHeight="1" x14ac:dyDescent="0.25">
      <c r="A25" s="110" t="s">
        <v>234</v>
      </c>
      <c r="B25" s="329" t="s">
        <v>235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</row>
    <row r="26" spans="1:16" ht="25.5" x14ac:dyDescent="0.25">
      <c r="A26" s="111" t="s">
        <v>236</v>
      </c>
      <c r="B26" s="112" t="s">
        <v>237</v>
      </c>
      <c r="C26" s="111"/>
      <c r="D26" s="111"/>
      <c r="E26" s="113">
        <v>3872</v>
      </c>
      <c r="F26" s="113">
        <v>0</v>
      </c>
      <c r="G26" s="113">
        <f t="shared" ref="G26:G43" si="5">H26-F26</f>
        <v>3872</v>
      </c>
      <c r="H26" s="113">
        <f>E26</f>
        <v>3872</v>
      </c>
      <c r="I26" s="113">
        <v>0</v>
      </c>
      <c r="J26" s="113">
        <v>0</v>
      </c>
      <c r="K26" s="113">
        <f>H26+'[5]Stampa rendiconto PI - USCITE'!H26</f>
        <v>8687</v>
      </c>
      <c r="L26" s="113">
        <f>F26+'[5]Stampa rendiconto PI - USCITE'!I26</f>
        <v>507</v>
      </c>
      <c r="M26" s="113">
        <v>0</v>
      </c>
      <c r="N26" s="113">
        <f t="shared" ref="N26:N43" si="6">K26-L26</f>
        <v>8180</v>
      </c>
      <c r="O26" s="348">
        <f>G26+'[5]Stampa rendiconto PI - USCITE'!J26</f>
        <v>8180</v>
      </c>
      <c r="P26" s="349"/>
    </row>
    <row r="27" spans="1:16" x14ac:dyDescent="0.25">
      <c r="A27" s="111" t="s">
        <v>238</v>
      </c>
      <c r="B27" s="112" t="s">
        <v>239</v>
      </c>
      <c r="C27" s="111"/>
      <c r="D27" s="111"/>
      <c r="E27" s="113">
        <v>0</v>
      </c>
      <c r="F27" s="113">
        <v>0</v>
      </c>
      <c r="G27" s="113">
        <f t="shared" si="5"/>
        <v>0</v>
      </c>
      <c r="H27" s="113">
        <f t="shared" ref="H27:H43" si="7">E27</f>
        <v>0</v>
      </c>
      <c r="I27" s="113">
        <v>0</v>
      </c>
      <c r="J27" s="113">
        <v>0</v>
      </c>
      <c r="K27" s="113">
        <f>H27+'[5]Stampa rendiconto PI - USCITE'!H27</f>
        <v>1522</v>
      </c>
      <c r="L27" s="113">
        <f>F27+'[5]Stampa rendiconto PI - USCITE'!I27</f>
        <v>0</v>
      </c>
      <c r="M27" s="113">
        <v>0</v>
      </c>
      <c r="N27" s="113">
        <f t="shared" si="6"/>
        <v>1522</v>
      </c>
      <c r="O27" s="348">
        <f>G27+'[5]Stampa rendiconto PI - USCITE'!J27</f>
        <v>0</v>
      </c>
      <c r="P27" s="349"/>
    </row>
    <row r="28" spans="1:16" ht="51" x14ac:dyDescent="0.25">
      <c r="A28" s="111" t="s">
        <v>240</v>
      </c>
      <c r="B28" s="112" t="s">
        <v>241</v>
      </c>
      <c r="C28" s="111"/>
      <c r="D28" s="111"/>
      <c r="E28" s="113">
        <v>77092</v>
      </c>
      <c r="F28" s="113">
        <f>ROUND(74075.43,0)</f>
        <v>74075</v>
      </c>
      <c r="G28" s="113">
        <f t="shared" si="5"/>
        <v>2823</v>
      </c>
      <c r="H28" s="113">
        <f>E28-J28</f>
        <v>76898</v>
      </c>
      <c r="I28" s="113">
        <v>0</v>
      </c>
      <c r="J28" s="113">
        <v>194</v>
      </c>
      <c r="K28" s="113">
        <f>H28+'[5]Stampa rendiconto PI - USCITE'!H28</f>
        <v>233775</v>
      </c>
      <c r="L28" s="113">
        <f>F28+'[5]Stampa rendiconto PI - USCITE'!I28</f>
        <v>134127</v>
      </c>
      <c r="M28" s="113">
        <v>0</v>
      </c>
      <c r="N28" s="113">
        <f t="shared" si="6"/>
        <v>99648</v>
      </c>
      <c r="O28" s="348">
        <f>G28+'[5]Stampa rendiconto PI - USCITE'!J28</f>
        <v>22724</v>
      </c>
      <c r="P28" s="349"/>
    </row>
    <row r="29" spans="1:16" x14ac:dyDescent="0.25">
      <c r="A29" s="111" t="s">
        <v>242</v>
      </c>
      <c r="B29" s="112" t="s">
        <v>243</v>
      </c>
      <c r="C29" s="111"/>
      <c r="D29" s="111"/>
      <c r="E29" s="113">
        <v>5490</v>
      </c>
      <c r="F29" s="113">
        <f>ROUND(5490.11,0)</f>
        <v>5490</v>
      </c>
      <c r="G29" s="113">
        <f t="shared" si="5"/>
        <v>0</v>
      </c>
      <c r="H29" s="113">
        <f t="shared" si="7"/>
        <v>5490</v>
      </c>
      <c r="I29" s="113">
        <v>0</v>
      </c>
      <c r="J29" s="113">
        <v>0</v>
      </c>
      <c r="K29" s="113">
        <f>H29+'[5]Stampa rendiconto PI - USCITE'!H29</f>
        <v>55490</v>
      </c>
      <c r="L29" s="113">
        <f>F29+'[5]Stampa rendiconto PI - USCITE'!I29</f>
        <v>50336</v>
      </c>
      <c r="M29" s="113">
        <v>0</v>
      </c>
      <c r="N29" s="113">
        <f t="shared" si="6"/>
        <v>5154</v>
      </c>
      <c r="O29" s="348">
        <f>G29+'[5]Stampa rendiconto PI - USCITE'!J29</f>
        <v>4554</v>
      </c>
      <c r="P29" s="349"/>
    </row>
    <row r="30" spans="1:16" ht="25.5" x14ac:dyDescent="0.25">
      <c r="A30" s="111" t="s">
        <v>244</v>
      </c>
      <c r="B30" s="112" t="s">
        <v>245</v>
      </c>
      <c r="C30" s="111"/>
      <c r="D30" s="111"/>
      <c r="E30" s="113">
        <v>0</v>
      </c>
      <c r="F30" s="113">
        <v>0</v>
      </c>
      <c r="G30" s="113">
        <f t="shared" si="5"/>
        <v>0</v>
      </c>
      <c r="H30" s="113">
        <f t="shared" si="7"/>
        <v>0</v>
      </c>
      <c r="I30" s="113">
        <v>0</v>
      </c>
      <c r="J30" s="113">
        <v>0</v>
      </c>
      <c r="K30" s="113">
        <f>H30+'[5]Stampa rendiconto PI - USCITE'!H30</f>
        <v>0</v>
      </c>
      <c r="L30" s="113">
        <f>F30+'[5]Stampa rendiconto PI - USCITE'!I30</f>
        <v>0</v>
      </c>
      <c r="M30" s="113">
        <v>0</v>
      </c>
      <c r="N30" s="113">
        <f t="shared" si="6"/>
        <v>0</v>
      </c>
      <c r="O30" s="348">
        <f>G30+'[5]Stampa rendiconto PI - USCITE'!J30</f>
        <v>0</v>
      </c>
      <c r="P30" s="349"/>
    </row>
    <row r="31" spans="1:16" x14ac:dyDescent="0.25">
      <c r="A31" s="111" t="s">
        <v>246</v>
      </c>
      <c r="B31" s="112" t="s">
        <v>247</v>
      </c>
      <c r="C31" s="111"/>
      <c r="D31" s="111"/>
      <c r="E31" s="113">
        <v>16168</v>
      </c>
      <c r="F31" s="115">
        <f>ROUND(16168.9,0)-1</f>
        <v>16168</v>
      </c>
      <c r="G31" s="113">
        <f t="shared" si="5"/>
        <v>0</v>
      </c>
      <c r="H31" s="113">
        <f t="shared" si="7"/>
        <v>16168</v>
      </c>
      <c r="I31" s="113">
        <v>0</v>
      </c>
      <c r="J31" s="113">
        <v>0</v>
      </c>
      <c r="K31" s="113">
        <f>H31+'[5]Stampa rendiconto PI - USCITE'!H31</f>
        <v>102418</v>
      </c>
      <c r="L31" s="113">
        <f>F31+'[5]Stampa rendiconto PI - USCITE'!I31</f>
        <v>92765</v>
      </c>
      <c r="M31" s="113">
        <v>0</v>
      </c>
      <c r="N31" s="113">
        <f t="shared" si="6"/>
        <v>9653</v>
      </c>
      <c r="O31" s="348">
        <f>G31+'[5]Stampa rendiconto PI - USCITE'!J31</f>
        <v>9653</v>
      </c>
      <c r="P31" s="349"/>
    </row>
    <row r="32" spans="1:16" x14ac:dyDescent="0.25">
      <c r="A32" s="111" t="s">
        <v>248</v>
      </c>
      <c r="B32" s="112" t="s">
        <v>249</v>
      </c>
      <c r="C32" s="111"/>
      <c r="D32" s="111"/>
      <c r="E32" s="113">
        <v>298</v>
      </c>
      <c r="F32" s="113">
        <f>ROUND(182.29,0)</f>
        <v>182</v>
      </c>
      <c r="G32" s="113">
        <f t="shared" si="5"/>
        <v>116</v>
      </c>
      <c r="H32" s="113">
        <f t="shared" si="7"/>
        <v>298</v>
      </c>
      <c r="I32" s="113">
        <v>0</v>
      </c>
      <c r="J32" s="113">
        <v>0</v>
      </c>
      <c r="K32" s="113">
        <f>H32+'[5]Stampa rendiconto PI - USCITE'!H32</f>
        <v>46977</v>
      </c>
      <c r="L32" s="113">
        <f>F32+'[5]Stampa rendiconto PI - USCITE'!I32</f>
        <v>36058</v>
      </c>
      <c r="M32" s="113">
        <v>0</v>
      </c>
      <c r="N32" s="113">
        <f t="shared" si="6"/>
        <v>10919</v>
      </c>
      <c r="O32" s="348">
        <f>G32+'[5]Stampa rendiconto PI - USCITE'!J32</f>
        <v>10452</v>
      </c>
      <c r="P32" s="349"/>
    </row>
    <row r="33" spans="1:17" x14ac:dyDescent="0.25">
      <c r="A33" s="111" t="s">
        <v>250</v>
      </c>
      <c r="B33" s="112" t="s">
        <v>251</v>
      </c>
      <c r="C33" s="111"/>
      <c r="D33" s="111"/>
      <c r="E33" s="113">
        <v>60</v>
      </c>
      <c r="F33" s="113">
        <v>60</v>
      </c>
      <c r="G33" s="113">
        <f t="shared" si="5"/>
        <v>0</v>
      </c>
      <c r="H33" s="113">
        <f t="shared" si="7"/>
        <v>60</v>
      </c>
      <c r="I33" s="113">
        <v>0</v>
      </c>
      <c r="J33" s="113">
        <v>0</v>
      </c>
      <c r="K33" s="113">
        <f>H33+'[5]Stampa rendiconto PI - USCITE'!H33</f>
        <v>15760</v>
      </c>
      <c r="L33" s="113">
        <f>F33+'[5]Stampa rendiconto PI - USCITE'!I33</f>
        <v>15759</v>
      </c>
      <c r="M33" s="113">
        <v>0</v>
      </c>
      <c r="N33" s="113">
        <f t="shared" si="6"/>
        <v>1</v>
      </c>
      <c r="O33" s="348">
        <f>G33+'[5]Stampa rendiconto PI - USCITE'!J33</f>
        <v>0</v>
      </c>
      <c r="P33" s="349"/>
    </row>
    <row r="34" spans="1:17" x14ac:dyDescent="0.25">
      <c r="A34" s="111" t="s">
        <v>252</v>
      </c>
      <c r="B34" s="112" t="s">
        <v>253</v>
      </c>
      <c r="C34" s="111"/>
      <c r="D34" s="111"/>
      <c r="E34" s="113">
        <v>1518</v>
      </c>
      <c r="F34" s="113">
        <f>ROUND(941.57,0)</f>
        <v>942</v>
      </c>
      <c r="G34" s="113">
        <f t="shared" si="5"/>
        <v>576</v>
      </c>
      <c r="H34" s="113">
        <f t="shared" si="7"/>
        <v>1518</v>
      </c>
      <c r="I34" s="113">
        <v>0</v>
      </c>
      <c r="J34" s="113">
        <v>0</v>
      </c>
      <c r="K34" s="113">
        <f>H34+'[5]Stampa rendiconto PI - USCITE'!H34</f>
        <v>6518</v>
      </c>
      <c r="L34" s="113">
        <f>F34+'[5]Stampa rendiconto PI - USCITE'!I34</f>
        <v>942</v>
      </c>
      <c r="M34" s="113">
        <v>0</v>
      </c>
      <c r="N34" s="113">
        <f t="shared" si="6"/>
        <v>5576</v>
      </c>
      <c r="O34" s="348">
        <f>G34+'[5]Stampa rendiconto PI - USCITE'!J34</f>
        <v>576</v>
      </c>
      <c r="P34" s="349"/>
    </row>
    <row r="35" spans="1:17" x14ac:dyDescent="0.25">
      <c r="A35" s="111" t="s">
        <v>254</v>
      </c>
      <c r="B35" s="112" t="s">
        <v>255</v>
      </c>
      <c r="C35" s="111"/>
      <c r="D35" s="111"/>
      <c r="E35" s="113">
        <v>31173</v>
      </c>
      <c r="F35" s="113">
        <f>ROUND(17391.37,0)</f>
        <v>17391</v>
      </c>
      <c r="G35" s="113">
        <f t="shared" si="5"/>
        <v>13777</v>
      </c>
      <c r="H35" s="113">
        <f>E35-J35</f>
        <v>31168</v>
      </c>
      <c r="I35" s="113">
        <v>0</v>
      </c>
      <c r="J35" s="113">
        <v>5</v>
      </c>
      <c r="K35" s="113">
        <f>H35+'[5]Stampa rendiconto PI - USCITE'!H35</f>
        <v>169968</v>
      </c>
      <c r="L35" s="113">
        <f>F35+'[5]Stampa rendiconto PI - USCITE'!I35</f>
        <v>91824</v>
      </c>
      <c r="M35" s="113">
        <v>0</v>
      </c>
      <c r="N35" s="113">
        <f t="shared" si="6"/>
        <v>78144</v>
      </c>
      <c r="O35" s="348">
        <f>G35+'[5]Stampa rendiconto PI - USCITE'!J35</f>
        <v>75766</v>
      </c>
      <c r="P35" s="349"/>
    </row>
    <row r="36" spans="1:17" x14ac:dyDescent="0.25">
      <c r="A36" s="111" t="s">
        <v>256</v>
      </c>
      <c r="B36" s="112" t="s">
        <v>257</v>
      </c>
      <c r="C36" s="111"/>
      <c r="D36" s="111"/>
      <c r="E36" s="113">
        <v>0</v>
      </c>
      <c r="F36" s="113">
        <v>0</v>
      </c>
      <c r="G36" s="113">
        <f t="shared" si="5"/>
        <v>0</v>
      </c>
      <c r="H36" s="113">
        <f t="shared" si="7"/>
        <v>0</v>
      </c>
      <c r="I36" s="113">
        <v>0</v>
      </c>
      <c r="J36" s="113">
        <v>0</v>
      </c>
      <c r="K36" s="113">
        <f>H36+'[5]Stampa rendiconto PI - USCITE'!H36</f>
        <v>0</v>
      </c>
      <c r="L36" s="113">
        <f>F36+'[5]Stampa rendiconto PI - USCITE'!I36</f>
        <v>0</v>
      </c>
      <c r="M36" s="113">
        <v>0</v>
      </c>
      <c r="N36" s="113">
        <f t="shared" si="6"/>
        <v>0</v>
      </c>
      <c r="O36" s="348">
        <f>G36+'[5]Stampa rendiconto PI - USCITE'!J36</f>
        <v>0</v>
      </c>
      <c r="P36" s="349"/>
    </row>
    <row r="37" spans="1:17" ht="25.5" x14ac:dyDescent="0.25">
      <c r="A37" s="111" t="s">
        <v>258</v>
      </c>
      <c r="B37" s="112" t="s">
        <v>259</v>
      </c>
      <c r="C37" s="111"/>
      <c r="D37" s="111"/>
      <c r="E37" s="113">
        <v>0</v>
      </c>
      <c r="F37" s="113">
        <v>0</v>
      </c>
      <c r="G37" s="113">
        <f t="shared" si="5"/>
        <v>0</v>
      </c>
      <c r="H37" s="113">
        <f t="shared" si="7"/>
        <v>0</v>
      </c>
      <c r="I37" s="113">
        <v>0</v>
      </c>
      <c r="J37" s="113">
        <v>0</v>
      </c>
      <c r="K37" s="113">
        <f>H37+'[5]Stampa rendiconto PI - USCITE'!H37</f>
        <v>0</v>
      </c>
      <c r="L37" s="113">
        <f>F37+'[5]Stampa rendiconto PI - USCITE'!I37</f>
        <v>0</v>
      </c>
      <c r="M37" s="113">
        <v>0</v>
      </c>
      <c r="N37" s="113">
        <f t="shared" si="6"/>
        <v>0</v>
      </c>
      <c r="O37" s="348">
        <f>G37+'[5]Stampa rendiconto PI - USCITE'!J37</f>
        <v>0</v>
      </c>
      <c r="P37" s="349"/>
    </row>
    <row r="38" spans="1:17" ht="25.5" x14ac:dyDescent="0.25">
      <c r="A38" s="111" t="s">
        <v>260</v>
      </c>
      <c r="B38" s="112" t="s">
        <v>261</v>
      </c>
      <c r="C38" s="111"/>
      <c r="D38" s="111"/>
      <c r="E38" s="113">
        <v>0</v>
      </c>
      <c r="F38" s="113">
        <v>0</v>
      </c>
      <c r="G38" s="113">
        <f t="shared" si="5"/>
        <v>0</v>
      </c>
      <c r="H38" s="113">
        <f t="shared" si="7"/>
        <v>0</v>
      </c>
      <c r="I38" s="113">
        <v>0</v>
      </c>
      <c r="J38" s="113">
        <v>0</v>
      </c>
      <c r="K38" s="113">
        <f>H38+'[5]Stampa rendiconto PI - USCITE'!H38</f>
        <v>6000</v>
      </c>
      <c r="L38" s="113">
        <f>F38+'[5]Stampa rendiconto PI - USCITE'!I38</f>
        <v>0</v>
      </c>
      <c r="M38" s="113">
        <v>0</v>
      </c>
      <c r="N38" s="113">
        <f t="shared" si="6"/>
        <v>6000</v>
      </c>
      <c r="O38" s="348">
        <f>G38+'[5]Stampa rendiconto PI - USCITE'!J38</f>
        <v>0</v>
      </c>
      <c r="P38" s="349"/>
    </row>
    <row r="39" spans="1:17" x14ac:dyDescent="0.25">
      <c r="A39" s="111" t="s">
        <v>262</v>
      </c>
      <c r="B39" s="112" t="s">
        <v>263</v>
      </c>
      <c r="C39" s="111"/>
      <c r="D39" s="111"/>
      <c r="E39" s="113">
        <v>0</v>
      </c>
      <c r="F39" s="113">
        <v>0</v>
      </c>
      <c r="G39" s="113">
        <f t="shared" si="5"/>
        <v>0</v>
      </c>
      <c r="H39" s="113">
        <f t="shared" si="7"/>
        <v>0</v>
      </c>
      <c r="I39" s="113">
        <v>0</v>
      </c>
      <c r="J39" s="113">
        <v>0</v>
      </c>
      <c r="K39" s="113">
        <f>H39+'[5]Stampa rendiconto PI - USCITE'!H39</f>
        <v>20000</v>
      </c>
      <c r="L39" s="113">
        <f>F39+'[5]Stampa rendiconto PI - USCITE'!I39</f>
        <v>14781</v>
      </c>
      <c r="M39" s="113">
        <v>0</v>
      </c>
      <c r="N39" s="113">
        <f t="shared" si="6"/>
        <v>5219</v>
      </c>
      <c r="O39" s="348">
        <f>G39+'[5]Stampa rendiconto PI - USCITE'!J39</f>
        <v>0</v>
      </c>
      <c r="P39" s="349"/>
    </row>
    <row r="40" spans="1:17" x14ac:dyDescent="0.25">
      <c r="A40" s="111" t="s">
        <v>264</v>
      </c>
      <c r="B40" s="112" t="s">
        <v>265</v>
      </c>
      <c r="C40" s="111"/>
      <c r="D40" s="111"/>
      <c r="E40" s="113">
        <v>0</v>
      </c>
      <c r="F40" s="113">
        <v>0</v>
      </c>
      <c r="G40" s="113">
        <f t="shared" si="5"/>
        <v>0</v>
      </c>
      <c r="H40" s="113">
        <f t="shared" si="7"/>
        <v>0</v>
      </c>
      <c r="I40" s="113">
        <v>0</v>
      </c>
      <c r="J40" s="113">
        <v>0</v>
      </c>
      <c r="K40" s="113">
        <f>H40+'[5]Stampa rendiconto PI - USCITE'!H40</f>
        <v>15000</v>
      </c>
      <c r="L40" s="113">
        <f>F40+'[5]Stampa rendiconto PI - USCITE'!I40</f>
        <v>312</v>
      </c>
      <c r="M40" s="113">
        <v>0</v>
      </c>
      <c r="N40" s="113">
        <f t="shared" si="6"/>
        <v>14688</v>
      </c>
      <c r="O40" s="348">
        <f>G40+'[5]Stampa rendiconto PI - USCITE'!J40</f>
        <v>2018</v>
      </c>
      <c r="P40" s="349"/>
    </row>
    <row r="41" spans="1:17" x14ac:dyDescent="0.25">
      <c r="A41" s="111" t="s">
        <v>266</v>
      </c>
      <c r="B41" s="112" t="s">
        <v>267</v>
      </c>
      <c r="C41" s="111"/>
      <c r="D41" s="111"/>
      <c r="E41" s="113">
        <v>0</v>
      </c>
      <c r="F41" s="113">
        <v>0</v>
      </c>
      <c r="G41" s="113">
        <f t="shared" si="5"/>
        <v>0</v>
      </c>
      <c r="H41" s="113">
        <f t="shared" si="7"/>
        <v>0</v>
      </c>
      <c r="I41" s="113">
        <v>0</v>
      </c>
      <c r="J41" s="113">
        <v>0</v>
      </c>
      <c r="K41" s="113">
        <f>H41+'[5]Stampa rendiconto PI - USCITE'!H41</f>
        <v>1000</v>
      </c>
      <c r="L41" s="113">
        <f>F41+'[5]Stampa rendiconto PI - USCITE'!I41</f>
        <v>220</v>
      </c>
      <c r="M41" s="113">
        <v>0</v>
      </c>
      <c r="N41" s="113">
        <f t="shared" si="6"/>
        <v>780</v>
      </c>
      <c r="O41" s="348">
        <f>G41+'[5]Stampa rendiconto PI - USCITE'!J41</f>
        <v>780</v>
      </c>
      <c r="P41" s="349"/>
    </row>
    <row r="42" spans="1:17" x14ac:dyDescent="0.25">
      <c r="A42" s="111" t="s">
        <v>268</v>
      </c>
      <c r="B42" s="112" t="s">
        <v>269</v>
      </c>
      <c r="C42" s="111"/>
      <c r="D42" s="111"/>
      <c r="E42" s="113">
        <v>0</v>
      </c>
      <c r="F42" s="113">
        <v>0</v>
      </c>
      <c r="G42" s="113">
        <f t="shared" si="5"/>
        <v>0</v>
      </c>
      <c r="H42" s="113">
        <f t="shared" si="7"/>
        <v>0</v>
      </c>
      <c r="I42" s="113">
        <v>0</v>
      </c>
      <c r="J42" s="113">
        <v>0</v>
      </c>
      <c r="K42" s="113">
        <f>H42+'[5]Stampa rendiconto PI - USCITE'!H42</f>
        <v>55000</v>
      </c>
      <c r="L42" s="113">
        <f>F42+'[5]Stampa rendiconto PI - USCITE'!I42</f>
        <v>38702</v>
      </c>
      <c r="M42" s="113">
        <v>0</v>
      </c>
      <c r="N42" s="113">
        <f t="shared" si="6"/>
        <v>16298</v>
      </c>
      <c r="O42" s="348">
        <f>G42+'[5]Stampa rendiconto PI - USCITE'!J42</f>
        <v>7876</v>
      </c>
      <c r="P42" s="349"/>
    </row>
    <row r="43" spans="1:17" ht="25.5" x14ac:dyDescent="0.25">
      <c r="A43" s="111" t="s">
        <v>270</v>
      </c>
      <c r="B43" s="112" t="s">
        <v>271</v>
      </c>
      <c r="C43" s="111"/>
      <c r="D43" s="111"/>
      <c r="E43" s="113">
        <v>0</v>
      </c>
      <c r="F43" s="113">
        <v>0</v>
      </c>
      <c r="G43" s="113">
        <f t="shared" si="5"/>
        <v>0</v>
      </c>
      <c r="H43" s="113">
        <f t="shared" si="7"/>
        <v>0</v>
      </c>
      <c r="I43" s="113">
        <v>0</v>
      </c>
      <c r="J43" s="113">
        <v>0</v>
      </c>
      <c r="K43" s="113">
        <f>H43+'[5]Stampa rendiconto PI - USCITE'!H43</f>
        <v>0</v>
      </c>
      <c r="L43" s="113">
        <f>F43+'[5]Stampa rendiconto PI - USCITE'!I43</f>
        <v>0</v>
      </c>
      <c r="M43" s="113">
        <v>0</v>
      </c>
      <c r="N43" s="113">
        <f t="shared" si="6"/>
        <v>0</v>
      </c>
      <c r="O43" s="348">
        <f>G43+'[5]Stampa rendiconto PI - USCITE'!J43</f>
        <v>0</v>
      </c>
      <c r="P43" s="349"/>
    </row>
    <row r="44" spans="1:17" x14ac:dyDescent="0.25">
      <c r="A44" s="328" t="s">
        <v>272</v>
      </c>
      <c r="B44" s="328"/>
      <c r="C44" s="328"/>
      <c r="D44" s="328"/>
      <c r="E44" s="114">
        <f>SUM(E26:E43)</f>
        <v>135671</v>
      </c>
      <c r="F44" s="114">
        <f>SUM(F26:F43)</f>
        <v>114308</v>
      </c>
      <c r="G44" s="114">
        <f>SUM(G26:G43)</f>
        <v>21164</v>
      </c>
      <c r="H44" s="114">
        <f>SUM(H26:H43)</f>
        <v>135472</v>
      </c>
      <c r="I44" s="114">
        <v>0</v>
      </c>
      <c r="J44" s="114">
        <f>SUM(J26:J43)</f>
        <v>199</v>
      </c>
      <c r="K44" s="114">
        <f>SUM(K26:K43)</f>
        <v>738115</v>
      </c>
      <c r="L44" s="114">
        <f>SUM(L26:L43)</f>
        <v>476333</v>
      </c>
      <c r="M44" s="114">
        <v>0</v>
      </c>
      <c r="N44" s="114">
        <f>SUM(N26:N43)</f>
        <v>261782</v>
      </c>
      <c r="O44" s="350">
        <f>SUM(O26:P43)</f>
        <v>142579</v>
      </c>
      <c r="P44" s="351"/>
      <c r="Q44" s="3">
        <f>O44+J44</f>
        <v>142778</v>
      </c>
    </row>
    <row r="45" spans="1:17" ht="12.95" customHeight="1" x14ac:dyDescent="0.25">
      <c r="A45" s="110" t="s">
        <v>273</v>
      </c>
      <c r="B45" s="329" t="s">
        <v>274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</row>
    <row r="46" spans="1:17" ht="25.5" x14ac:dyDescent="0.25">
      <c r="A46" s="111" t="s">
        <v>275</v>
      </c>
      <c r="B46" s="112" t="s">
        <v>276</v>
      </c>
      <c r="C46" s="111"/>
      <c r="D46" s="111"/>
      <c r="E46" s="113">
        <v>199792</v>
      </c>
      <c r="F46" s="113">
        <f>ROUND(179537.08,0)</f>
        <v>179537</v>
      </c>
      <c r="G46" s="113">
        <f t="shared" ref="G46:G50" si="8">H46-F46</f>
        <v>19294</v>
      </c>
      <c r="H46" s="113">
        <f>E46-J46</f>
        <v>198831</v>
      </c>
      <c r="I46" s="113">
        <v>0</v>
      </c>
      <c r="J46" s="113">
        <v>961</v>
      </c>
      <c r="K46" s="113">
        <f>H46+'[5]Stampa rendiconto PI - USCITE'!H46</f>
        <v>2398831</v>
      </c>
      <c r="L46" s="113">
        <f>F46+'[5]Stampa rendiconto PI - USCITE'!I46</f>
        <v>1864079</v>
      </c>
      <c r="M46" s="113">
        <v>0</v>
      </c>
      <c r="N46" s="113">
        <f t="shared" ref="N46:N50" si="9">K46-L46</f>
        <v>534752</v>
      </c>
      <c r="O46" s="348">
        <f>G46+'[5]Stampa rendiconto PI - USCITE'!J46</f>
        <v>394773</v>
      </c>
      <c r="P46" s="349"/>
    </row>
    <row r="47" spans="1:17" ht="38.25" x14ac:dyDescent="0.25">
      <c r="A47" s="111" t="s">
        <v>277</v>
      </c>
      <c r="B47" s="112" t="s">
        <v>278</v>
      </c>
      <c r="C47" s="111"/>
      <c r="D47" s="111"/>
      <c r="E47" s="113">
        <v>915417</v>
      </c>
      <c r="F47" s="113">
        <f>ROUND(494097.44,0)</f>
        <v>494097</v>
      </c>
      <c r="G47" s="113">
        <f t="shared" si="8"/>
        <v>421320</v>
      </c>
      <c r="H47" s="113">
        <f t="shared" ref="H47:H50" si="10">E47</f>
        <v>915417</v>
      </c>
      <c r="I47" s="113">
        <v>0</v>
      </c>
      <c r="J47" s="113">
        <v>0</v>
      </c>
      <c r="K47" s="113">
        <f>H47+'[5]Stampa rendiconto PI - USCITE'!H47</f>
        <v>5130417</v>
      </c>
      <c r="L47" s="113">
        <f>F47+'[5]Stampa rendiconto PI - USCITE'!I47</f>
        <v>2512646</v>
      </c>
      <c r="M47" s="113">
        <v>0</v>
      </c>
      <c r="N47" s="113">
        <f t="shared" si="9"/>
        <v>2617771</v>
      </c>
      <c r="O47" s="348">
        <f>G47+'[5]Stampa rendiconto PI - USCITE'!J47</f>
        <v>1583339</v>
      </c>
      <c r="P47" s="349"/>
    </row>
    <row r="48" spans="1:17" ht="38.25" x14ac:dyDescent="0.25">
      <c r="A48" s="111" t="s">
        <v>279</v>
      </c>
      <c r="B48" s="112" t="s">
        <v>280</v>
      </c>
      <c r="C48" s="111"/>
      <c r="D48" s="111"/>
      <c r="E48" s="113">
        <v>0</v>
      </c>
      <c r="F48" s="113">
        <v>0</v>
      </c>
      <c r="G48" s="113">
        <f t="shared" si="8"/>
        <v>0</v>
      </c>
      <c r="H48" s="113">
        <f t="shared" si="10"/>
        <v>0</v>
      </c>
      <c r="I48" s="113">
        <v>0</v>
      </c>
      <c r="J48" s="113">
        <v>0</v>
      </c>
      <c r="K48" s="113">
        <f>H48+'[5]Stampa rendiconto PI - USCITE'!H48</f>
        <v>0</v>
      </c>
      <c r="L48" s="113">
        <f>F48+'[5]Stampa rendiconto PI - USCITE'!I48</f>
        <v>0</v>
      </c>
      <c r="M48" s="113">
        <v>0</v>
      </c>
      <c r="N48" s="113">
        <f t="shared" si="9"/>
        <v>0</v>
      </c>
      <c r="O48" s="348">
        <f>G48+'[5]Stampa rendiconto PI - USCITE'!J48</f>
        <v>0</v>
      </c>
      <c r="P48" s="349"/>
    </row>
    <row r="49" spans="1:17" x14ac:dyDescent="0.25">
      <c r="A49" s="111" t="s">
        <v>281</v>
      </c>
      <c r="B49" s="112" t="s">
        <v>282</v>
      </c>
      <c r="C49" s="111"/>
      <c r="D49" s="111"/>
      <c r="E49" s="113">
        <v>73327</v>
      </c>
      <c r="F49" s="113">
        <f>ROUND(4672.52,0)</f>
        <v>4673</v>
      </c>
      <c r="G49" s="113">
        <f t="shared" si="8"/>
        <v>68654</v>
      </c>
      <c r="H49" s="113">
        <f t="shared" si="10"/>
        <v>73327</v>
      </c>
      <c r="I49" s="113">
        <v>0</v>
      </c>
      <c r="J49" s="113">
        <v>0</v>
      </c>
      <c r="K49" s="113">
        <f>H49+'[5]Stampa rendiconto PI - USCITE'!H49</f>
        <v>176086</v>
      </c>
      <c r="L49" s="113">
        <f>F49+'[5]Stampa rendiconto PI - USCITE'!I49</f>
        <v>31197</v>
      </c>
      <c r="M49" s="113">
        <v>0</v>
      </c>
      <c r="N49" s="113">
        <f t="shared" si="9"/>
        <v>144889</v>
      </c>
      <c r="O49" s="348">
        <f>G49+'[5]Stampa rendiconto PI - USCITE'!J49</f>
        <v>139108</v>
      </c>
      <c r="P49" s="349"/>
    </row>
    <row r="50" spans="1:17" ht="25.5" x14ac:dyDescent="0.25">
      <c r="A50" s="111" t="s">
        <v>283</v>
      </c>
      <c r="B50" s="112" t="s">
        <v>284</v>
      </c>
      <c r="C50" s="111"/>
      <c r="D50" s="111"/>
      <c r="E50" s="113">
        <v>0</v>
      </c>
      <c r="F50" s="113">
        <v>0</v>
      </c>
      <c r="G50" s="113">
        <f t="shared" si="8"/>
        <v>0</v>
      </c>
      <c r="H50" s="113">
        <f t="shared" si="10"/>
        <v>0</v>
      </c>
      <c r="I50" s="113">
        <v>0</v>
      </c>
      <c r="J50" s="113">
        <v>0</v>
      </c>
      <c r="K50" s="113">
        <f>H50+'[5]Stampa rendiconto PI - USCITE'!H50</f>
        <v>51210</v>
      </c>
      <c r="L50" s="113">
        <f>F50+'[5]Stampa rendiconto PI - USCITE'!I50</f>
        <v>51210</v>
      </c>
      <c r="M50" s="113">
        <v>0</v>
      </c>
      <c r="N50" s="113">
        <f t="shared" si="9"/>
        <v>0</v>
      </c>
      <c r="O50" s="348">
        <f>G50+'[5]Stampa rendiconto PI - USCITE'!J50</f>
        <v>0</v>
      </c>
      <c r="P50" s="349"/>
    </row>
    <row r="51" spans="1:17" x14ac:dyDescent="0.25">
      <c r="A51" s="328" t="s">
        <v>285</v>
      </c>
      <c r="B51" s="328"/>
      <c r="C51" s="328"/>
      <c r="D51" s="328"/>
      <c r="E51" s="114">
        <f>SUM(E46:E50)</f>
        <v>1188536</v>
      </c>
      <c r="F51" s="114">
        <f>SUM(F46:F50)</f>
        <v>678307</v>
      </c>
      <c r="G51" s="114">
        <f>SUM(G46:G50)</f>
        <v>509268</v>
      </c>
      <c r="H51" s="114">
        <f>SUM(H46:H50)</f>
        <v>1187575</v>
      </c>
      <c r="I51" s="114">
        <v>0</v>
      </c>
      <c r="J51" s="114">
        <f>SUM(J46:J50)</f>
        <v>961</v>
      </c>
      <c r="K51" s="114">
        <f>SUM(K46:K50)</f>
        <v>7756544</v>
      </c>
      <c r="L51" s="114">
        <f>SUM(L46:L50)</f>
        <v>4459132</v>
      </c>
      <c r="M51" s="114">
        <v>0</v>
      </c>
      <c r="N51" s="114">
        <f>SUM(N46:N50)</f>
        <v>3297412</v>
      </c>
      <c r="O51" s="350">
        <f>SUM(O46:P50)</f>
        <v>2117220</v>
      </c>
      <c r="P51" s="351"/>
      <c r="Q51" s="3">
        <f>O51+J51</f>
        <v>2118181</v>
      </c>
    </row>
    <row r="52" spans="1:17" x14ac:dyDescent="0.25">
      <c r="A52" s="110" t="s">
        <v>286</v>
      </c>
      <c r="B52" s="329" t="s">
        <v>287</v>
      </c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</row>
    <row r="53" spans="1:17" ht="25.5" x14ac:dyDescent="0.25">
      <c r="A53" s="111" t="s">
        <v>288</v>
      </c>
      <c r="B53" s="112" t="s">
        <v>289</v>
      </c>
      <c r="C53" s="111"/>
      <c r="D53" s="111"/>
      <c r="E53" s="113">
        <v>4950</v>
      </c>
      <c r="F53" s="113">
        <v>4950</v>
      </c>
      <c r="G53" s="113">
        <v>0</v>
      </c>
      <c r="H53" s="113">
        <v>4950</v>
      </c>
      <c r="I53" s="113">
        <v>0</v>
      </c>
      <c r="J53" s="113">
        <v>0</v>
      </c>
      <c r="K53" s="113">
        <f>H53+'[5]Stampa rendiconto PI - USCITE'!H53</f>
        <v>404950</v>
      </c>
      <c r="L53" s="113">
        <f>F53+'[5]Stampa rendiconto PI - USCITE'!I53</f>
        <v>262743</v>
      </c>
      <c r="M53" s="113">
        <v>0</v>
      </c>
      <c r="N53" s="113">
        <f t="shared" ref="N53:N55" si="11">K53-L53</f>
        <v>142207</v>
      </c>
      <c r="O53" s="348">
        <f>G53+'[5]Stampa rendiconto PI - USCITE'!J53</f>
        <v>133158</v>
      </c>
      <c r="P53" s="349"/>
    </row>
    <row r="54" spans="1:17" ht="38.25" x14ac:dyDescent="0.25">
      <c r="A54" s="111" t="s">
        <v>290</v>
      </c>
      <c r="B54" s="112" t="s">
        <v>291</v>
      </c>
      <c r="C54" s="111"/>
      <c r="D54" s="111"/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f>H54+'[5]Stampa rendiconto PI - USCITE'!H54</f>
        <v>0</v>
      </c>
      <c r="L54" s="113">
        <f>F54+'[5]Stampa rendiconto PI - USCITE'!I54</f>
        <v>0</v>
      </c>
      <c r="M54" s="113">
        <v>0</v>
      </c>
      <c r="N54" s="113">
        <f t="shared" si="11"/>
        <v>0</v>
      </c>
      <c r="O54" s="348">
        <f>G54+'[5]Stampa rendiconto PI - USCITE'!J54</f>
        <v>0</v>
      </c>
      <c r="P54" s="349"/>
    </row>
    <row r="55" spans="1:17" ht="25.5" x14ac:dyDescent="0.25">
      <c r="A55" s="111" t="s">
        <v>292</v>
      </c>
      <c r="B55" s="112" t="s">
        <v>293</v>
      </c>
      <c r="C55" s="111"/>
      <c r="D55" s="111"/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f>H55+'[5]Stampa rendiconto PI - USCITE'!H55</f>
        <v>20000</v>
      </c>
      <c r="L55" s="113">
        <f>F55+'[5]Stampa rendiconto PI - USCITE'!I55</f>
        <v>0</v>
      </c>
      <c r="M55" s="113">
        <v>0</v>
      </c>
      <c r="N55" s="113">
        <f t="shared" si="11"/>
        <v>20000</v>
      </c>
      <c r="O55" s="348">
        <f>G55+'[5]Stampa rendiconto PI - USCITE'!J55</f>
        <v>0</v>
      </c>
      <c r="P55" s="349"/>
    </row>
    <row r="56" spans="1:17" x14ac:dyDescent="0.25">
      <c r="A56" s="328" t="s">
        <v>294</v>
      </c>
      <c r="B56" s="328"/>
      <c r="C56" s="328"/>
      <c r="D56" s="328"/>
      <c r="E56" s="114">
        <v>4950</v>
      </c>
      <c r="F56" s="114">
        <v>4950</v>
      </c>
      <c r="G56" s="114">
        <v>0</v>
      </c>
      <c r="H56" s="114">
        <v>4950</v>
      </c>
      <c r="I56" s="114">
        <v>0</v>
      </c>
      <c r="J56" s="114">
        <v>0</v>
      </c>
      <c r="K56" s="114">
        <f>SUM(K53:K55)</f>
        <v>424950</v>
      </c>
      <c r="L56" s="114">
        <f>SUM(L53:L55)</f>
        <v>262743</v>
      </c>
      <c r="M56" s="114">
        <v>0</v>
      </c>
      <c r="N56" s="114">
        <f>SUM(N53:N55)</f>
        <v>162207</v>
      </c>
      <c r="O56" s="350">
        <f>SUM(O53:P55)</f>
        <v>133158</v>
      </c>
      <c r="P56" s="351"/>
    </row>
    <row r="57" spans="1:17" x14ac:dyDescent="0.25">
      <c r="A57" s="110" t="s">
        <v>295</v>
      </c>
      <c r="B57" s="329" t="s">
        <v>296</v>
      </c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</row>
    <row r="58" spans="1:17" x14ac:dyDescent="0.25">
      <c r="A58" s="111" t="s">
        <v>297</v>
      </c>
      <c r="B58" s="112" t="s">
        <v>298</v>
      </c>
      <c r="C58" s="111"/>
      <c r="D58" s="111"/>
      <c r="E58" s="113">
        <v>12985</v>
      </c>
      <c r="F58" s="113">
        <f>ROUND(4482.35,0)</f>
        <v>4482</v>
      </c>
      <c r="G58" s="113">
        <f t="shared" ref="G58" si="12">H58-F58</f>
        <v>8503</v>
      </c>
      <c r="H58" s="113">
        <f>E58</f>
        <v>12985</v>
      </c>
      <c r="I58" s="113">
        <v>0</v>
      </c>
      <c r="J58" s="113">
        <v>0</v>
      </c>
      <c r="K58" s="113">
        <f>H58+'[5]Stampa rendiconto PI - USCITE'!H58</f>
        <v>28985</v>
      </c>
      <c r="L58" s="113">
        <f>F58+'[5]Stampa rendiconto PI - USCITE'!I58</f>
        <v>19805</v>
      </c>
      <c r="M58" s="113">
        <v>0</v>
      </c>
      <c r="N58" s="113">
        <f>K58-L58</f>
        <v>9180</v>
      </c>
      <c r="O58" s="348">
        <f>G58+'[5]Stampa rendiconto PI - USCITE'!J58</f>
        <v>8505</v>
      </c>
      <c r="P58" s="349"/>
    </row>
    <row r="59" spans="1:17" x14ac:dyDescent="0.25">
      <c r="A59" s="328" t="s">
        <v>299</v>
      </c>
      <c r="B59" s="328"/>
      <c r="C59" s="328"/>
      <c r="D59" s="328"/>
      <c r="E59" s="114">
        <f>SUM(E58)</f>
        <v>12985</v>
      </c>
      <c r="F59" s="114">
        <f>SUM(F58)</f>
        <v>4482</v>
      </c>
      <c r="G59" s="114">
        <f>SUM(G58)</f>
        <v>8503</v>
      </c>
      <c r="H59" s="114">
        <f>H58</f>
        <v>12985</v>
      </c>
      <c r="I59" s="114">
        <v>0</v>
      </c>
      <c r="J59" s="114">
        <v>0</v>
      </c>
      <c r="K59" s="114">
        <f>SUM(K58)</f>
        <v>28985</v>
      </c>
      <c r="L59" s="114">
        <f>SUM(L58)</f>
        <v>19805</v>
      </c>
      <c r="M59" s="114">
        <v>0</v>
      </c>
      <c r="N59" s="114">
        <f>SUM(N58)</f>
        <v>9180</v>
      </c>
      <c r="O59" s="350">
        <f>SUM(O58)</f>
        <v>8505</v>
      </c>
      <c r="P59" s="351"/>
      <c r="Q59" s="3">
        <f>O59+J59</f>
        <v>8505</v>
      </c>
    </row>
    <row r="60" spans="1:17" x14ac:dyDescent="0.25">
      <c r="A60" s="110" t="s">
        <v>300</v>
      </c>
      <c r="B60" s="329" t="s">
        <v>301</v>
      </c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</row>
    <row r="61" spans="1:17" x14ac:dyDescent="0.25">
      <c r="A61" s="111" t="s">
        <v>302</v>
      </c>
      <c r="B61" s="112" t="s">
        <v>303</v>
      </c>
      <c r="C61" s="111"/>
      <c r="D61" s="111"/>
      <c r="E61" s="113">
        <v>1564</v>
      </c>
      <c r="F61" s="113">
        <v>1564</v>
      </c>
      <c r="G61" s="113">
        <v>0</v>
      </c>
      <c r="H61" s="113">
        <v>1564</v>
      </c>
      <c r="I61" s="113">
        <v>0</v>
      </c>
      <c r="J61" s="113">
        <v>0</v>
      </c>
      <c r="K61" s="113">
        <f>H61+'[5]Stampa rendiconto PI - USCITE'!H61</f>
        <v>372336</v>
      </c>
      <c r="L61" s="113">
        <f>F61+'[5]Stampa rendiconto PI - USCITE'!I61</f>
        <v>346159</v>
      </c>
      <c r="M61" s="113">
        <v>0</v>
      </c>
      <c r="N61" s="113">
        <f>K61-L61</f>
        <v>26177</v>
      </c>
      <c r="O61" s="348">
        <f>G61+'[5]Stampa rendiconto PI - USCITE'!J61</f>
        <v>11809</v>
      </c>
      <c r="P61" s="349"/>
    </row>
    <row r="62" spans="1:17" x14ac:dyDescent="0.25">
      <c r="A62" s="328" t="s">
        <v>304</v>
      </c>
      <c r="B62" s="328"/>
      <c r="C62" s="328"/>
      <c r="D62" s="328"/>
      <c r="E62" s="114">
        <v>1564</v>
      </c>
      <c r="F62" s="114">
        <v>1564</v>
      </c>
      <c r="G62" s="114">
        <v>0</v>
      </c>
      <c r="H62" s="114">
        <v>1564</v>
      </c>
      <c r="I62" s="114">
        <v>0</v>
      </c>
      <c r="J62" s="114">
        <v>0</v>
      </c>
      <c r="K62" s="114">
        <f>SUM(K61)</f>
        <v>372336</v>
      </c>
      <c r="L62" s="114">
        <f>SUM(L61)</f>
        <v>346159</v>
      </c>
      <c r="M62" s="114">
        <v>0</v>
      </c>
      <c r="N62" s="114">
        <f>SUM(N61)</f>
        <v>26177</v>
      </c>
      <c r="O62" s="350">
        <f>SUM(O61)</f>
        <v>11809</v>
      </c>
      <c r="P62" s="351"/>
    </row>
    <row r="63" spans="1:17" ht="12.95" customHeight="1" x14ac:dyDescent="0.25">
      <c r="A63" s="110" t="s">
        <v>305</v>
      </c>
      <c r="B63" s="329" t="s">
        <v>306</v>
      </c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</row>
    <row r="64" spans="1:17" x14ac:dyDescent="0.25">
      <c r="A64" s="111" t="s">
        <v>307</v>
      </c>
      <c r="B64" s="112" t="s">
        <v>308</v>
      </c>
      <c r="C64" s="111"/>
      <c r="D64" s="111"/>
      <c r="E64" s="113">
        <v>105</v>
      </c>
      <c r="F64" s="113">
        <v>0</v>
      </c>
      <c r="G64" s="113">
        <f t="shared" ref="G64" si="13">H64-F64</f>
        <v>105</v>
      </c>
      <c r="H64" s="113">
        <f>E64</f>
        <v>105</v>
      </c>
      <c r="I64" s="113">
        <v>0</v>
      </c>
      <c r="J64" s="113">
        <v>0</v>
      </c>
      <c r="K64" s="113">
        <f>H64+'[5]Stampa rendiconto PI - USCITE'!H64</f>
        <v>228105</v>
      </c>
      <c r="L64" s="113">
        <f>F64+'[5]Stampa rendiconto PI - USCITE'!I64</f>
        <v>79619</v>
      </c>
      <c r="M64" s="113">
        <v>0</v>
      </c>
      <c r="N64" s="113">
        <f>K64-L64</f>
        <v>148486</v>
      </c>
      <c r="O64" s="348">
        <f>G64+'[5]Stampa rendiconto PI - USCITE'!J64</f>
        <v>134575</v>
      </c>
      <c r="P64" s="349"/>
    </row>
    <row r="65" spans="1:16" x14ac:dyDescent="0.25">
      <c r="A65" s="328" t="s">
        <v>309</v>
      </c>
      <c r="B65" s="328"/>
      <c r="C65" s="328"/>
      <c r="D65" s="328"/>
      <c r="E65" s="114">
        <f>SUM(E64)</f>
        <v>105</v>
      </c>
      <c r="F65" s="114">
        <v>0</v>
      </c>
      <c r="G65" s="114">
        <f>SUM(G64)</f>
        <v>105</v>
      </c>
      <c r="H65" s="114">
        <f>H64</f>
        <v>105</v>
      </c>
      <c r="I65" s="114">
        <v>0</v>
      </c>
      <c r="J65" s="114">
        <v>0</v>
      </c>
      <c r="K65" s="114">
        <f>SUM(K64)</f>
        <v>228105</v>
      </c>
      <c r="L65" s="114">
        <f>SUM(L64)</f>
        <v>79619</v>
      </c>
      <c r="M65" s="114">
        <v>0</v>
      </c>
      <c r="N65" s="114">
        <f>SUM(N64)</f>
        <v>148486</v>
      </c>
      <c r="O65" s="350">
        <f>SUM(O64)</f>
        <v>134575</v>
      </c>
      <c r="P65" s="351"/>
    </row>
    <row r="66" spans="1:16" ht="12.95" customHeight="1" x14ac:dyDescent="0.25">
      <c r="A66" s="110" t="s">
        <v>310</v>
      </c>
      <c r="B66" s="329" t="s">
        <v>311</v>
      </c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</row>
    <row r="67" spans="1:16" x14ac:dyDescent="0.25">
      <c r="A67" s="111" t="s">
        <v>312</v>
      </c>
      <c r="B67" s="112" t="s">
        <v>313</v>
      </c>
      <c r="C67" s="111"/>
      <c r="D67" s="111"/>
      <c r="E67" s="113">
        <v>395817</v>
      </c>
      <c r="F67" s="113">
        <v>0</v>
      </c>
      <c r="G67" s="113">
        <f t="shared" ref="G67:G70" si="14">H67-F67</f>
        <v>395817</v>
      </c>
      <c r="H67" s="113">
        <f>E67</f>
        <v>395817</v>
      </c>
      <c r="I67" s="113">
        <v>0</v>
      </c>
      <c r="J67" s="113">
        <v>0</v>
      </c>
      <c r="K67" s="113">
        <f>H67+'[5]Stampa rendiconto PI - USCITE'!H67</f>
        <v>560817</v>
      </c>
      <c r="L67" s="113">
        <f>F67+'[5]Stampa rendiconto PI - USCITE'!I67</f>
        <v>165000</v>
      </c>
      <c r="M67" s="113">
        <v>0</v>
      </c>
      <c r="N67" s="113">
        <f t="shared" ref="N67:N70" si="15">K67-L67</f>
        <v>395817</v>
      </c>
      <c r="O67" s="348">
        <f>G67+'[5]Stampa rendiconto PI - USCITE'!J67</f>
        <v>395817</v>
      </c>
      <c r="P67" s="349"/>
    </row>
    <row r="68" spans="1:16" x14ac:dyDescent="0.25">
      <c r="A68" s="111" t="s">
        <v>314</v>
      </c>
      <c r="B68" s="112" t="s">
        <v>315</v>
      </c>
      <c r="C68" s="111"/>
      <c r="D68" s="111"/>
      <c r="E68" s="113">
        <v>0</v>
      </c>
      <c r="F68" s="113">
        <v>0</v>
      </c>
      <c r="G68" s="113">
        <f t="shared" si="14"/>
        <v>0</v>
      </c>
      <c r="H68" s="113">
        <v>0</v>
      </c>
      <c r="I68" s="113">
        <v>0</v>
      </c>
      <c r="J68" s="113">
        <v>0</v>
      </c>
      <c r="K68" s="113">
        <f>H68+'[5]Stampa rendiconto PI - USCITE'!H68</f>
        <v>180000</v>
      </c>
      <c r="L68" s="113">
        <f>F68+'[5]Stampa rendiconto PI - USCITE'!I68</f>
        <v>0</v>
      </c>
      <c r="M68" s="113">
        <v>0</v>
      </c>
      <c r="N68" s="113">
        <f t="shared" si="15"/>
        <v>180000</v>
      </c>
      <c r="O68" s="348">
        <f>G68+'[5]Stampa rendiconto PI - USCITE'!J68</f>
        <v>0</v>
      </c>
      <c r="P68" s="349"/>
    </row>
    <row r="69" spans="1:16" x14ac:dyDescent="0.25">
      <c r="A69" s="111" t="s">
        <v>316</v>
      </c>
      <c r="B69" s="112" t="s">
        <v>317</v>
      </c>
      <c r="C69" s="111"/>
      <c r="D69" s="111"/>
      <c r="E69" s="113">
        <v>0</v>
      </c>
      <c r="F69" s="113">
        <v>0</v>
      </c>
      <c r="G69" s="113">
        <f t="shared" si="14"/>
        <v>0</v>
      </c>
      <c r="H69" s="113">
        <v>0</v>
      </c>
      <c r="I69" s="113">
        <v>0</v>
      </c>
      <c r="J69" s="113">
        <v>0</v>
      </c>
      <c r="K69" s="113">
        <f>H69+'[5]Stampa rendiconto PI - USCITE'!H69</f>
        <v>308863</v>
      </c>
      <c r="L69" s="113">
        <f>F69+'[5]Stampa rendiconto PI - USCITE'!I69</f>
        <v>308863</v>
      </c>
      <c r="M69" s="113">
        <v>0</v>
      </c>
      <c r="N69" s="113">
        <f t="shared" si="15"/>
        <v>0</v>
      </c>
      <c r="O69" s="348">
        <f>G69+'[5]Stampa rendiconto PI - USCITE'!J69</f>
        <v>0</v>
      </c>
      <c r="P69" s="349"/>
    </row>
    <row r="70" spans="1:16" x14ac:dyDescent="0.25">
      <c r="A70" s="111" t="s">
        <v>318</v>
      </c>
      <c r="B70" s="112" t="s">
        <v>319</v>
      </c>
      <c r="C70" s="111"/>
      <c r="D70" s="111"/>
      <c r="E70" s="113">
        <v>0</v>
      </c>
      <c r="F70" s="113">
        <v>0</v>
      </c>
      <c r="G70" s="113">
        <f t="shared" si="14"/>
        <v>0</v>
      </c>
      <c r="H70" s="113">
        <v>0</v>
      </c>
      <c r="I70" s="113">
        <v>0</v>
      </c>
      <c r="J70" s="113">
        <v>0</v>
      </c>
      <c r="K70" s="113">
        <f>H70+'[5]Stampa rendiconto PI - USCITE'!H70</f>
        <v>0</v>
      </c>
      <c r="L70" s="113">
        <f>F70+'[5]Stampa rendiconto PI - USCITE'!I70</f>
        <v>0</v>
      </c>
      <c r="M70" s="113">
        <v>0</v>
      </c>
      <c r="N70" s="113">
        <f t="shared" si="15"/>
        <v>0</v>
      </c>
      <c r="O70" s="348">
        <f>G70+'[5]Stampa rendiconto PI - USCITE'!J70</f>
        <v>0</v>
      </c>
      <c r="P70" s="349"/>
    </row>
    <row r="71" spans="1:16" x14ac:dyDescent="0.25">
      <c r="A71" s="328" t="s">
        <v>320</v>
      </c>
      <c r="B71" s="328"/>
      <c r="C71" s="328"/>
      <c r="D71" s="328"/>
      <c r="E71" s="114">
        <f>SUM(E67:E70)</f>
        <v>395817</v>
      </c>
      <c r="F71" s="114">
        <f t="shared" ref="F71:G71" si="16">SUM(F67:F70)</f>
        <v>0</v>
      </c>
      <c r="G71" s="114">
        <f t="shared" si="16"/>
        <v>395817</v>
      </c>
      <c r="H71" s="114">
        <f>SUM(H67:H70)</f>
        <v>395817</v>
      </c>
      <c r="I71" s="114">
        <v>0</v>
      </c>
      <c r="J71" s="114">
        <v>0</v>
      </c>
      <c r="K71" s="114">
        <f>SUM(K67:K70)</f>
        <v>1049680</v>
      </c>
      <c r="L71" s="114">
        <f>SUM(L67:L70)</f>
        <v>473863</v>
      </c>
      <c r="M71" s="114">
        <v>0</v>
      </c>
      <c r="N71" s="114">
        <f>SUM(N67:N70)</f>
        <v>575817</v>
      </c>
      <c r="O71" s="350">
        <f>SUM(O67:P70)</f>
        <v>395817</v>
      </c>
      <c r="P71" s="351"/>
    </row>
    <row r="72" spans="1:16" ht="12.95" customHeight="1" x14ac:dyDescent="0.25">
      <c r="A72" s="110" t="s">
        <v>321</v>
      </c>
      <c r="B72" s="329" t="s">
        <v>322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</row>
    <row r="73" spans="1:16" ht="25.5" x14ac:dyDescent="0.25">
      <c r="A73" s="111" t="s">
        <v>323</v>
      </c>
      <c r="B73" s="112" t="s">
        <v>324</v>
      </c>
      <c r="C73" s="111"/>
      <c r="D73" s="111"/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  <c r="L73" s="113">
        <v>0</v>
      </c>
      <c r="M73" s="113">
        <v>0</v>
      </c>
      <c r="N73" s="113">
        <v>0</v>
      </c>
      <c r="O73" s="348">
        <v>0</v>
      </c>
      <c r="P73" s="349"/>
    </row>
    <row r="74" spans="1:16" x14ac:dyDescent="0.25">
      <c r="A74" s="328" t="s">
        <v>325</v>
      </c>
      <c r="B74" s="328"/>
      <c r="C74" s="328"/>
      <c r="D74" s="328"/>
      <c r="E74" s="114">
        <v>0</v>
      </c>
      <c r="F74" s="114">
        <v>0</v>
      </c>
      <c r="G74" s="114">
        <v>0</v>
      </c>
      <c r="H74" s="114">
        <v>0</v>
      </c>
      <c r="I74" s="114">
        <v>0</v>
      </c>
      <c r="J74" s="114">
        <v>0</v>
      </c>
      <c r="K74" s="114">
        <v>0</v>
      </c>
      <c r="L74" s="114">
        <v>0</v>
      </c>
      <c r="M74" s="114">
        <v>0</v>
      </c>
      <c r="N74" s="114">
        <v>0</v>
      </c>
      <c r="O74" s="350">
        <v>0</v>
      </c>
      <c r="P74" s="351"/>
    </row>
    <row r="75" spans="1:16" ht="12.95" customHeight="1" x14ac:dyDescent="0.25">
      <c r="A75" s="110" t="s">
        <v>326</v>
      </c>
      <c r="B75" s="329" t="s">
        <v>327</v>
      </c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</row>
    <row r="76" spans="1:16" ht="25.5" x14ac:dyDescent="0.25">
      <c r="A76" s="111" t="s">
        <v>328</v>
      </c>
      <c r="B76" s="112" t="s">
        <v>329</v>
      </c>
      <c r="C76" s="111"/>
      <c r="D76" s="111"/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0</v>
      </c>
      <c r="O76" s="348">
        <v>0</v>
      </c>
      <c r="P76" s="349"/>
    </row>
    <row r="77" spans="1:16" x14ac:dyDescent="0.25">
      <c r="A77" s="328" t="s">
        <v>330</v>
      </c>
      <c r="B77" s="328"/>
      <c r="C77" s="328"/>
      <c r="D77" s="328"/>
      <c r="E77" s="114">
        <v>0</v>
      </c>
      <c r="F77" s="114">
        <v>0</v>
      </c>
      <c r="G77" s="114">
        <v>0</v>
      </c>
      <c r="H77" s="114">
        <v>0</v>
      </c>
      <c r="I77" s="114">
        <v>0</v>
      </c>
      <c r="J77" s="114">
        <v>0</v>
      </c>
      <c r="K77" s="114">
        <v>0</v>
      </c>
      <c r="L77" s="114">
        <v>0</v>
      </c>
      <c r="M77" s="114">
        <v>0</v>
      </c>
      <c r="N77" s="114">
        <v>0</v>
      </c>
      <c r="O77" s="350">
        <v>0</v>
      </c>
      <c r="P77" s="351"/>
    </row>
    <row r="78" spans="1:16" x14ac:dyDescent="0.25">
      <c r="A78" s="110" t="s">
        <v>331</v>
      </c>
      <c r="B78" s="329" t="s">
        <v>332</v>
      </c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</row>
    <row r="79" spans="1:16" x14ac:dyDescent="0.25">
      <c r="A79" s="111" t="s">
        <v>333</v>
      </c>
      <c r="B79" s="112" t="s">
        <v>334</v>
      </c>
      <c r="C79" s="111"/>
      <c r="D79" s="111"/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348">
        <v>0</v>
      </c>
      <c r="P79" s="349"/>
    </row>
    <row r="80" spans="1:16" x14ac:dyDescent="0.25">
      <c r="A80" s="328" t="s">
        <v>335</v>
      </c>
      <c r="B80" s="328"/>
      <c r="C80" s="328"/>
      <c r="D80" s="328"/>
      <c r="E80" s="114">
        <v>0</v>
      </c>
      <c r="F80" s="114">
        <v>0</v>
      </c>
      <c r="G80" s="114">
        <v>0</v>
      </c>
      <c r="H80" s="114">
        <v>0</v>
      </c>
      <c r="I80" s="114">
        <v>0</v>
      </c>
      <c r="J80" s="114">
        <v>0</v>
      </c>
      <c r="K80" s="114">
        <v>0</v>
      </c>
      <c r="L80" s="114">
        <v>0</v>
      </c>
      <c r="M80" s="114">
        <v>0</v>
      </c>
      <c r="N80" s="114">
        <v>0</v>
      </c>
      <c r="O80" s="350">
        <v>0</v>
      </c>
      <c r="P80" s="351"/>
    </row>
    <row r="81" spans="1:17" x14ac:dyDescent="0.25">
      <c r="A81" s="328" t="s">
        <v>336</v>
      </c>
      <c r="B81" s="328"/>
      <c r="C81" s="328"/>
      <c r="D81" s="328"/>
      <c r="E81" s="114">
        <f>E80+E77+E74+E71+E65+E62+E59+E56+E51+E44+E24+E13</f>
        <v>1790434</v>
      </c>
      <c r="F81" s="114">
        <f t="shared" ref="F81:P81" si="17">F80+F77+F74+F71+F65+F62+F59+F56+F51+F44+F24+F13</f>
        <v>849481</v>
      </c>
      <c r="G81" s="114">
        <f t="shared" si="17"/>
        <v>939793</v>
      </c>
      <c r="H81" s="114">
        <f t="shared" si="17"/>
        <v>1789274</v>
      </c>
      <c r="I81" s="114">
        <f t="shared" si="17"/>
        <v>0</v>
      </c>
      <c r="J81" s="114">
        <f t="shared" si="17"/>
        <v>1160</v>
      </c>
      <c r="K81" s="114">
        <f t="shared" si="17"/>
        <v>16053091</v>
      </c>
      <c r="L81" s="114">
        <f t="shared" si="17"/>
        <v>11429020</v>
      </c>
      <c r="M81" s="114">
        <f t="shared" si="17"/>
        <v>0</v>
      </c>
      <c r="N81" s="114">
        <f t="shared" si="17"/>
        <v>4624071</v>
      </c>
      <c r="O81" s="350">
        <f>O80+O77+O74+O71+O65+O62+O59+O56+O51+O44+O24+O13</f>
        <v>2999695</v>
      </c>
      <c r="P81" s="351">
        <f t="shared" si="17"/>
        <v>0</v>
      </c>
      <c r="Q81" s="3">
        <f>P81+J81</f>
        <v>1160</v>
      </c>
    </row>
    <row r="82" spans="1:17" x14ac:dyDescent="0.25">
      <c r="A82" s="109" t="s">
        <v>337</v>
      </c>
      <c r="B82" s="352" t="s">
        <v>338</v>
      </c>
      <c r="C82" s="353"/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</row>
    <row r="83" spans="1:17" ht="12.95" customHeight="1" x14ac:dyDescent="0.25">
      <c r="A83" s="110" t="s">
        <v>339</v>
      </c>
      <c r="B83" s="329" t="s">
        <v>340</v>
      </c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</row>
    <row r="84" spans="1:17" ht="25.5" x14ac:dyDescent="0.25">
      <c r="A84" s="111" t="s">
        <v>341</v>
      </c>
      <c r="B84" s="112" t="s">
        <v>342</v>
      </c>
      <c r="C84" s="111"/>
      <c r="D84" s="111"/>
      <c r="E84" s="113">
        <v>53869674</v>
      </c>
      <c r="F84" s="113">
        <f>ROUND(36531920.14,0)</f>
        <v>36531920</v>
      </c>
      <c r="G84" s="113">
        <f t="shared" ref="G84:G87" si="18">H84-F84</f>
        <v>17337754</v>
      </c>
      <c r="H84" s="113">
        <f>E84</f>
        <v>53869674</v>
      </c>
      <c r="I84" s="113">
        <v>0</v>
      </c>
      <c r="J84" s="113">
        <v>0</v>
      </c>
      <c r="K84" s="116">
        <v>100000000</v>
      </c>
      <c r="L84" s="113">
        <f>F84+'[5]Stampa rendiconto PI - USCITE'!I84</f>
        <v>46909870</v>
      </c>
      <c r="M84" s="113">
        <v>0</v>
      </c>
      <c r="N84" s="113">
        <f t="shared" ref="N84:N87" si="19">K84-L84</f>
        <v>53090130</v>
      </c>
      <c r="O84" s="348">
        <f>G84+'[5]Stampa rendiconto PI - USCITE'!J84</f>
        <v>39150168</v>
      </c>
      <c r="P84" s="349"/>
    </row>
    <row r="85" spans="1:17" ht="38.25" x14ac:dyDescent="0.25">
      <c r="A85" s="111" t="s">
        <v>343</v>
      </c>
      <c r="B85" s="112" t="s">
        <v>344</v>
      </c>
      <c r="C85" s="111"/>
      <c r="D85" s="111"/>
      <c r="E85" s="113">
        <v>21000</v>
      </c>
      <c r="F85" s="113">
        <v>21000</v>
      </c>
      <c r="G85" s="113">
        <f t="shared" si="18"/>
        <v>0</v>
      </c>
      <c r="H85" s="113">
        <f t="shared" ref="H85:H86" si="20">E85</f>
        <v>21000</v>
      </c>
      <c r="I85" s="113">
        <v>0</v>
      </c>
      <c r="J85" s="113">
        <v>0</v>
      </c>
      <c r="K85" s="113">
        <f>H85+'[5]Stampa rendiconto PI - USCITE'!H85</f>
        <v>1021000</v>
      </c>
      <c r="L85" s="113">
        <f>F85+'[5]Stampa rendiconto PI - USCITE'!I85</f>
        <v>22200</v>
      </c>
      <c r="M85" s="113">
        <v>0</v>
      </c>
      <c r="N85" s="113">
        <f t="shared" si="19"/>
        <v>998800</v>
      </c>
      <c r="O85" s="348">
        <f>G85+'[5]Stampa rendiconto PI - USCITE'!J85</f>
        <v>30</v>
      </c>
      <c r="P85" s="349"/>
    </row>
    <row r="86" spans="1:17" ht="25.5" x14ac:dyDescent="0.25">
      <c r="A86" s="111" t="s">
        <v>345</v>
      </c>
      <c r="B86" s="112" t="s">
        <v>346</v>
      </c>
      <c r="C86" s="111"/>
      <c r="D86" s="111"/>
      <c r="E86" s="113">
        <v>4518020</v>
      </c>
      <c r="F86" s="113">
        <f>ROUND(608275.14,0)</f>
        <v>608275</v>
      </c>
      <c r="G86" s="113">
        <f t="shared" si="18"/>
        <v>3909745</v>
      </c>
      <c r="H86" s="113">
        <f t="shared" si="20"/>
        <v>4518020</v>
      </c>
      <c r="I86" s="113">
        <v>0</v>
      </c>
      <c r="J86" s="113">
        <v>0</v>
      </c>
      <c r="K86" s="113">
        <f>H86+'[5]Stampa rendiconto PI - USCITE'!H86</f>
        <v>11048020</v>
      </c>
      <c r="L86" s="113">
        <f>F86+'[5]Stampa rendiconto PI - USCITE'!I86</f>
        <v>623692</v>
      </c>
      <c r="M86" s="113">
        <v>0</v>
      </c>
      <c r="N86" s="113">
        <f t="shared" si="19"/>
        <v>10424328</v>
      </c>
      <c r="O86" s="348">
        <f>G86+'[5]Stampa rendiconto PI - USCITE'!J86</f>
        <v>5736331</v>
      </c>
      <c r="P86" s="349"/>
    </row>
    <row r="87" spans="1:17" ht="25.5" x14ac:dyDescent="0.25">
      <c r="A87" s="111" t="s">
        <v>347</v>
      </c>
      <c r="B87" s="112" t="s">
        <v>348</v>
      </c>
      <c r="C87" s="111"/>
      <c r="D87" s="111"/>
      <c r="E87" s="113">
        <v>0</v>
      </c>
      <c r="F87" s="113">
        <v>0</v>
      </c>
      <c r="G87" s="113">
        <f t="shared" si="18"/>
        <v>0</v>
      </c>
      <c r="H87" s="113">
        <v>0</v>
      </c>
      <c r="I87" s="113">
        <v>0</v>
      </c>
      <c r="J87" s="113">
        <v>0</v>
      </c>
      <c r="K87" s="113">
        <f>H87+'[5]Stampa rendiconto PI - USCITE'!H87</f>
        <v>0</v>
      </c>
      <c r="L87" s="113">
        <f>F87+'[5]Stampa rendiconto PI - USCITE'!I87</f>
        <v>0</v>
      </c>
      <c r="M87" s="113">
        <v>0</v>
      </c>
      <c r="N87" s="113">
        <f t="shared" si="19"/>
        <v>0</v>
      </c>
      <c r="O87" s="348">
        <f>G87+'[5]Stampa rendiconto PI - USCITE'!J87</f>
        <v>0</v>
      </c>
      <c r="P87" s="349"/>
    </row>
    <row r="88" spans="1:17" x14ac:dyDescent="0.25">
      <c r="A88" s="328" t="s">
        <v>349</v>
      </c>
      <c r="B88" s="328"/>
      <c r="C88" s="328"/>
      <c r="D88" s="328"/>
      <c r="E88" s="114">
        <f>SUM(E84:E87)</f>
        <v>58408694</v>
      </c>
      <c r="F88" s="114">
        <f t="shared" ref="F88:G88" si="21">SUM(F84:F87)</f>
        <v>37161195</v>
      </c>
      <c r="G88" s="114">
        <f t="shared" si="21"/>
        <v>21247499</v>
      </c>
      <c r="H88" s="114">
        <f>SUM(H84:H87)</f>
        <v>58408694</v>
      </c>
      <c r="I88" s="114">
        <v>0</v>
      </c>
      <c r="J88" s="114">
        <v>0</v>
      </c>
      <c r="K88" s="114">
        <f>SUM(K84:K87)</f>
        <v>112069020</v>
      </c>
      <c r="L88" s="114">
        <f>SUM(L84:L87)</f>
        <v>47555762</v>
      </c>
      <c r="M88" s="114">
        <v>0</v>
      </c>
      <c r="N88" s="114">
        <f>SUM(N84:N87)</f>
        <v>64513258</v>
      </c>
      <c r="O88" s="350">
        <f>SUM(O84:P87)</f>
        <v>44886529</v>
      </c>
      <c r="P88" s="351"/>
      <c r="Q88" s="3">
        <f>O88+J88</f>
        <v>44886529</v>
      </c>
    </row>
    <row r="89" spans="1:17" ht="12.95" customHeight="1" x14ac:dyDescent="0.25">
      <c r="A89" s="110" t="s">
        <v>350</v>
      </c>
      <c r="B89" s="329" t="s">
        <v>351</v>
      </c>
      <c r="C89" s="330"/>
      <c r="D89" s="330"/>
      <c r="E89" s="330"/>
      <c r="F89" s="330"/>
      <c r="G89" s="330"/>
      <c r="H89" s="330"/>
      <c r="I89" s="330"/>
      <c r="J89" s="330"/>
      <c r="K89" s="330"/>
      <c r="L89" s="330"/>
      <c r="M89" s="330"/>
      <c r="N89" s="330"/>
      <c r="O89" s="330"/>
      <c r="P89" s="330"/>
    </row>
    <row r="90" spans="1:17" x14ac:dyDescent="0.25">
      <c r="A90" s="111" t="s">
        <v>352</v>
      </c>
      <c r="B90" s="112" t="s">
        <v>353</v>
      </c>
      <c r="C90" s="111"/>
      <c r="D90" s="111"/>
      <c r="E90" s="113">
        <v>52559</v>
      </c>
      <c r="F90" s="113">
        <f>ROUND(37347.86,0)</f>
        <v>37348</v>
      </c>
      <c r="G90" s="113">
        <f t="shared" ref="G90:G94" si="22">H90-F90</f>
        <v>15211</v>
      </c>
      <c r="H90" s="113">
        <f>E90</f>
        <v>52559</v>
      </c>
      <c r="I90" s="113">
        <v>0</v>
      </c>
      <c r="J90" s="113">
        <v>0</v>
      </c>
      <c r="K90" s="113">
        <f>H90+'[5]Stampa rendiconto PI - USCITE'!H90</f>
        <v>582559</v>
      </c>
      <c r="L90" s="113">
        <f>F90+'[5]Stampa rendiconto PI - USCITE'!I90</f>
        <v>54251</v>
      </c>
      <c r="M90" s="113">
        <v>0</v>
      </c>
      <c r="N90" s="113">
        <f t="shared" ref="N90:N94" si="23">K90-L90</f>
        <v>528308</v>
      </c>
      <c r="O90" s="348">
        <f>G90+'[5]Stampa rendiconto PI - USCITE'!J90</f>
        <v>21751</v>
      </c>
      <c r="P90" s="349"/>
    </row>
    <row r="91" spans="1:17" ht="25.5" x14ac:dyDescent="0.25">
      <c r="A91" s="111" t="s">
        <v>354</v>
      </c>
      <c r="B91" s="112" t="s">
        <v>355</v>
      </c>
      <c r="C91" s="111"/>
      <c r="D91" s="111"/>
      <c r="E91" s="113">
        <v>0</v>
      </c>
      <c r="F91" s="113">
        <v>0</v>
      </c>
      <c r="G91" s="113">
        <f t="shared" si="22"/>
        <v>0</v>
      </c>
      <c r="H91" s="113">
        <f t="shared" ref="H91:H94" si="24">E91</f>
        <v>0</v>
      </c>
      <c r="I91" s="113">
        <v>0</v>
      </c>
      <c r="J91" s="113">
        <v>0</v>
      </c>
      <c r="K91" s="113">
        <f>H91+'[5]Stampa rendiconto PI - USCITE'!H91</f>
        <v>0</v>
      </c>
      <c r="L91" s="113">
        <f>F91+'[5]Stampa rendiconto PI - USCITE'!I91</f>
        <v>0</v>
      </c>
      <c r="M91" s="113">
        <v>0</v>
      </c>
      <c r="N91" s="113">
        <f t="shared" si="23"/>
        <v>0</v>
      </c>
      <c r="O91" s="348">
        <f>G91+'[5]Stampa rendiconto PI - USCITE'!J91</f>
        <v>0</v>
      </c>
      <c r="P91" s="349"/>
    </row>
    <row r="92" spans="1:17" ht="25.5" x14ac:dyDescent="0.25">
      <c r="A92" s="111" t="s">
        <v>356</v>
      </c>
      <c r="B92" s="112" t="s">
        <v>357</v>
      </c>
      <c r="C92" s="111"/>
      <c r="D92" s="111"/>
      <c r="E92" s="113">
        <v>0</v>
      </c>
      <c r="F92" s="113">
        <v>0</v>
      </c>
      <c r="G92" s="113">
        <f t="shared" si="22"/>
        <v>0</v>
      </c>
      <c r="H92" s="113">
        <f t="shared" si="24"/>
        <v>0</v>
      </c>
      <c r="I92" s="113">
        <v>0</v>
      </c>
      <c r="J92" s="113">
        <v>0</v>
      </c>
      <c r="K92" s="113">
        <f>H92+'[5]Stampa rendiconto PI - USCITE'!H92</f>
        <v>0</v>
      </c>
      <c r="L92" s="113">
        <f>F92+'[5]Stampa rendiconto PI - USCITE'!I92</f>
        <v>0</v>
      </c>
      <c r="M92" s="113">
        <v>0</v>
      </c>
      <c r="N92" s="113">
        <f t="shared" si="23"/>
        <v>0</v>
      </c>
      <c r="O92" s="348">
        <f>G92+'[5]Stampa rendiconto PI - USCITE'!J92</f>
        <v>0</v>
      </c>
      <c r="P92" s="349"/>
    </row>
    <row r="93" spans="1:17" x14ac:dyDescent="0.25">
      <c r="A93" s="111" t="s">
        <v>358</v>
      </c>
      <c r="B93" s="112" t="s">
        <v>359</v>
      </c>
      <c r="C93" s="111"/>
      <c r="D93" s="111"/>
      <c r="E93" s="113">
        <v>54220</v>
      </c>
      <c r="F93" s="113">
        <f>ROUND(49127.52,0)</f>
        <v>49128</v>
      </c>
      <c r="G93" s="113">
        <f t="shared" si="22"/>
        <v>5092</v>
      </c>
      <c r="H93" s="113">
        <f t="shared" si="24"/>
        <v>54220</v>
      </c>
      <c r="I93" s="113">
        <v>0</v>
      </c>
      <c r="J93" s="113">
        <v>0</v>
      </c>
      <c r="K93" s="113">
        <f>H93+'[5]Stampa rendiconto PI - USCITE'!H93</f>
        <v>554220</v>
      </c>
      <c r="L93" s="113">
        <f>F93+'[5]Stampa rendiconto PI - USCITE'!I93</f>
        <v>284800</v>
      </c>
      <c r="M93" s="113">
        <v>0</v>
      </c>
      <c r="N93" s="113">
        <f t="shared" si="23"/>
        <v>269420</v>
      </c>
      <c r="O93" s="348">
        <f>G93+'[5]Stampa rendiconto PI - USCITE'!J93</f>
        <v>68423</v>
      </c>
      <c r="P93" s="349"/>
    </row>
    <row r="94" spans="1:17" x14ac:dyDescent="0.25">
      <c r="A94" s="111" t="s">
        <v>360</v>
      </c>
      <c r="B94" s="112" t="s">
        <v>361</v>
      </c>
      <c r="C94" s="111"/>
      <c r="D94" s="111"/>
      <c r="E94" s="113">
        <v>91317</v>
      </c>
      <c r="F94" s="113">
        <v>91317</v>
      </c>
      <c r="G94" s="113">
        <f t="shared" si="22"/>
        <v>0</v>
      </c>
      <c r="H94" s="113">
        <f t="shared" si="24"/>
        <v>91317</v>
      </c>
      <c r="I94" s="113">
        <v>0</v>
      </c>
      <c r="J94" s="113">
        <v>0</v>
      </c>
      <c r="K94" s="113">
        <f>H94+'[5]Stampa rendiconto PI - USCITE'!H94</f>
        <v>691317</v>
      </c>
      <c r="L94" s="113">
        <f>F94+'[5]Stampa rendiconto PI - USCITE'!I94</f>
        <v>122577</v>
      </c>
      <c r="M94" s="113">
        <v>0</v>
      </c>
      <c r="N94" s="113">
        <f t="shared" si="23"/>
        <v>568740</v>
      </c>
      <c r="O94" s="348">
        <f>G94+'[5]Stampa rendiconto PI - USCITE'!J94</f>
        <v>25648</v>
      </c>
      <c r="P94" s="349"/>
    </row>
    <row r="95" spans="1:17" x14ac:dyDescent="0.25">
      <c r="A95" s="328" t="s">
        <v>362</v>
      </c>
      <c r="B95" s="328"/>
      <c r="C95" s="328"/>
      <c r="D95" s="328"/>
      <c r="E95" s="114">
        <f>SUM(E90:E94)</f>
        <v>198096</v>
      </c>
      <c r="F95" s="114">
        <f t="shared" ref="F95:G95" si="25">SUM(F90:F94)</f>
        <v>177793</v>
      </c>
      <c r="G95" s="114">
        <f t="shared" si="25"/>
        <v>20303</v>
      </c>
      <c r="H95" s="114">
        <f>SUM(H90:H94)</f>
        <v>198096</v>
      </c>
      <c r="I95" s="114">
        <v>0</v>
      </c>
      <c r="J95" s="114">
        <v>0</v>
      </c>
      <c r="K95" s="114">
        <f>SUM(K90:K94)</f>
        <v>1828096</v>
      </c>
      <c r="L95" s="114">
        <f>SUM(L90:L94)</f>
        <v>461628</v>
      </c>
      <c r="M95" s="114">
        <v>0</v>
      </c>
      <c r="N95" s="114">
        <f>SUM(N90:N94)</f>
        <v>1366468</v>
      </c>
      <c r="O95" s="350">
        <f>SUM(O90:P94)</f>
        <v>115822</v>
      </c>
      <c r="P95" s="351"/>
    </row>
    <row r="96" spans="1:17" ht="12.95" customHeight="1" x14ac:dyDescent="0.25">
      <c r="A96" s="110" t="s">
        <v>363</v>
      </c>
      <c r="B96" s="329" t="s">
        <v>783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</row>
    <row r="97" spans="1:16" ht="25.5" x14ac:dyDescent="0.25">
      <c r="A97" s="111" t="s">
        <v>364</v>
      </c>
      <c r="B97" s="112" t="s">
        <v>365</v>
      </c>
      <c r="C97" s="111"/>
      <c r="D97" s="111"/>
      <c r="E97" s="113">
        <v>0</v>
      </c>
      <c r="F97" s="113">
        <v>0</v>
      </c>
      <c r="G97" s="113">
        <f t="shared" ref="G97:G98" si="26">H97-F97</f>
        <v>0</v>
      </c>
      <c r="H97" s="113">
        <v>0</v>
      </c>
      <c r="I97" s="113">
        <v>0</v>
      </c>
      <c r="J97" s="113">
        <v>0</v>
      </c>
      <c r="K97" s="113">
        <f>H97+'[5]Stampa rendiconto PI - USCITE'!H97</f>
        <v>50000</v>
      </c>
      <c r="L97" s="113">
        <f>F97+'[5]Stampa rendiconto PI - USCITE'!I97</f>
        <v>0</v>
      </c>
      <c r="M97" s="113">
        <v>0</v>
      </c>
      <c r="N97" s="113">
        <f t="shared" ref="N97:N98" si="27">K97-L97</f>
        <v>50000</v>
      </c>
      <c r="O97" s="348">
        <f>G97+'[5]Stampa rendiconto PI - USCITE'!J97</f>
        <v>0</v>
      </c>
      <c r="P97" s="349"/>
    </row>
    <row r="98" spans="1:16" ht="25.5" x14ac:dyDescent="0.25">
      <c r="A98" s="111" t="s">
        <v>366</v>
      </c>
      <c r="B98" s="112" t="s">
        <v>367</v>
      </c>
      <c r="C98" s="111"/>
      <c r="D98" s="111"/>
      <c r="E98" s="113">
        <v>4533922</v>
      </c>
      <c r="F98" s="113">
        <f>ROUND(359799.38,0)</f>
        <v>359799</v>
      </c>
      <c r="G98" s="113">
        <f t="shared" si="26"/>
        <v>4174123</v>
      </c>
      <c r="H98" s="113">
        <f>E98</f>
        <v>4533922</v>
      </c>
      <c r="I98" s="113">
        <v>0</v>
      </c>
      <c r="J98" s="113">
        <v>0</v>
      </c>
      <c r="K98" s="113">
        <f>H98+'[5]Stampa rendiconto PI - USCITE'!H98</f>
        <v>4953922</v>
      </c>
      <c r="L98" s="113">
        <f>F98+'[5]Stampa rendiconto PI - USCITE'!I98</f>
        <v>359799</v>
      </c>
      <c r="M98" s="113">
        <v>0</v>
      </c>
      <c r="N98" s="113">
        <f t="shared" si="27"/>
        <v>4594123</v>
      </c>
      <c r="O98" s="348">
        <f>G98+'[5]Stampa rendiconto PI - USCITE'!J98</f>
        <v>4174183</v>
      </c>
      <c r="P98" s="349"/>
    </row>
    <row r="99" spans="1:16" x14ac:dyDescent="0.25">
      <c r="A99" s="328" t="s">
        <v>368</v>
      </c>
      <c r="B99" s="328"/>
      <c r="C99" s="328"/>
      <c r="D99" s="328"/>
      <c r="E99" s="114">
        <f>SUM(E97:E98)</f>
        <v>4533922</v>
      </c>
      <c r="F99" s="114">
        <f t="shared" ref="F99:G99" si="28">SUM(F97:F98)</f>
        <v>359799</v>
      </c>
      <c r="G99" s="114">
        <f t="shared" si="28"/>
        <v>4174123</v>
      </c>
      <c r="H99" s="114">
        <f>SUM(H97:H98)</f>
        <v>4533922</v>
      </c>
      <c r="I99" s="114">
        <v>0</v>
      </c>
      <c r="J99" s="114">
        <v>0</v>
      </c>
      <c r="K99" s="114">
        <f>SUM(K97:K98)</f>
        <v>5003922</v>
      </c>
      <c r="L99" s="114">
        <f>SUM(L97:L98)</f>
        <v>359799</v>
      </c>
      <c r="M99" s="114">
        <v>0</v>
      </c>
      <c r="N99" s="114">
        <f>SUM(N97:N98)</f>
        <v>4644123</v>
      </c>
      <c r="O99" s="350">
        <f>SUM(O97:P98)</f>
        <v>4174183</v>
      </c>
      <c r="P99" s="351"/>
    </row>
    <row r="100" spans="1:16" ht="12.95" customHeight="1" x14ac:dyDescent="0.25">
      <c r="A100" s="110" t="s">
        <v>369</v>
      </c>
      <c r="B100" s="329" t="s">
        <v>370</v>
      </c>
      <c r="C100" s="330"/>
      <c r="D100" s="330"/>
      <c r="E100" s="330"/>
      <c r="F100" s="330"/>
      <c r="G100" s="330"/>
      <c r="H100" s="330"/>
      <c r="I100" s="330"/>
      <c r="J100" s="330"/>
      <c r="K100" s="330"/>
      <c r="L100" s="330"/>
      <c r="M100" s="330"/>
      <c r="N100" s="330"/>
      <c r="O100" s="330"/>
      <c r="P100" s="330"/>
    </row>
    <row r="101" spans="1:16" ht="25.5" x14ac:dyDescent="0.25">
      <c r="A101" s="111" t="s">
        <v>371</v>
      </c>
      <c r="B101" s="112" t="s">
        <v>372</v>
      </c>
      <c r="C101" s="111"/>
      <c r="D101" s="111"/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13">
        <v>0</v>
      </c>
      <c r="O101" s="348">
        <v>0</v>
      </c>
      <c r="P101" s="349"/>
    </row>
    <row r="102" spans="1:16" x14ac:dyDescent="0.25">
      <c r="A102" s="111" t="s">
        <v>373</v>
      </c>
      <c r="B102" s="112" t="s">
        <v>374</v>
      </c>
      <c r="C102" s="111"/>
      <c r="D102" s="111"/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348">
        <v>0</v>
      </c>
      <c r="P102" s="349"/>
    </row>
    <row r="103" spans="1:16" x14ac:dyDescent="0.25">
      <c r="A103" s="111" t="s">
        <v>375</v>
      </c>
      <c r="B103" s="112" t="s">
        <v>376</v>
      </c>
      <c r="C103" s="111"/>
      <c r="D103" s="111"/>
      <c r="E103" s="113">
        <v>0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348">
        <v>0</v>
      </c>
      <c r="P103" s="349"/>
    </row>
    <row r="104" spans="1:16" x14ac:dyDescent="0.25">
      <c r="A104" s="328" t="s">
        <v>377</v>
      </c>
      <c r="B104" s="328"/>
      <c r="C104" s="328"/>
      <c r="D104" s="328"/>
      <c r="E104" s="114">
        <v>0</v>
      </c>
      <c r="F104" s="114">
        <v>0</v>
      </c>
      <c r="G104" s="114">
        <v>0</v>
      </c>
      <c r="H104" s="114">
        <v>0</v>
      </c>
      <c r="I104" s="114">
        <v>0</v>
      </c>
      <c r="J104" s="114">
        <v>0</v>
      </c>
      <c r="K104" s="114">
        <v>0</v>
      </c>
      <c r="L104" s="114">
        <v>0</v>
      </c>
      <c r="M104" s="114">
        <v>0</v>
      </c>
      <c r="N104" s="114">
        <v>0</v>
      </c>
      <c r="O104" s="350">
        <v>0</v>
      </c>
      <c r="P104" s="351"/>
    </row>
    <row r="105" spans="1:16" ht="12.95" customHeight="1" x14ac:dyDescent="0.25">
      <c r="A105" s="110" t="s">
        <v>378</v>
      </c>
      <c r="B105" s="329" t="s">
        <v>379</v>
      </c>
      <c r="C105" s="330"/>
      <c r="D105" s="330"/>
      <c r="E105" s="330"/>
      <c r="F105" s="330"/>
      <c r="G105" s="330"/>
      <c r="H105" s="330"/>
      <c r="I105" s="330"/>
      <c r="J105" s="330"/>
      <c r="K105" s="330"/>
      <c r="L105" s="330"/>
      <c r="M105" s="330"/>
      <c r="N105" s="330"/>
      <c r="O105" s="330"/>
      <c r="P105" s="330"/>
    </row>
    <row r="106" spans="1:16" ht="25.5" x14ac:dyDescent="0.25">
      <c r="A106" s="111" t="s">
        <v>380</v>
      </c>
      <c r="B106" s="112" t="s">
        <v>381</v>
      </c>
      <c r="C106" s="111"/>
      <c r="D106" s="111"/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348">
        <v>0</v>
      </c>
      <c r="P106" s="349"/>
    </row>
    <row r="107" spans="1:16" ht="38.25" x14ac:dyDescent="0.25">
      <c r="A107" s="111" t="s">
        <v>382</v>
      </c>
      <c r="B107" s="112" t="s">
        <v>383</v>
      </c>
      <c r="C107" s="111"/>
      <c r="D107" s="111"/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348">
        <v>0</v>
      </c>
      <c r="P107" s="349"/>
    </row>
    <row r="108" spans="1:16" x14ac:dyDescent="0.25">
      <c r="A108" s="111" t="s">
        <v>384</v>
      </c>
      <c r="B108" s="112" t="s">
        <v>385</v>
      </c>
      <c r="C108" s="111"/>
      <c r="D108" s="111"/>
      <c r="E108" s="113">
        <v>7091</v>
      </c>
      <c r="F108" s="113">
        <f>ROUND(7090.77,0)</f>
        <v>7091</v>
      </c>
      <c r="G108" s="113">
        <v>0</v>
      </c>
      <c r="H108" s="113">
        <f>E108</f>
        <v>7091</v>
      </c>
      <c r="I108" s="113">
        <v>0</v>
      </c>
      <c r="J108" s="113">
        <v>0</v>
      </c>
      <c r="K108" s="113">
        <f>H108+'[5]Stampa rendiconto PI - USCITE'!H108</f>
        <v>136091</v>
      </c>
      <c r="L108" s="113">
        <f>F108+'[5]Stampa rendiconto PI - USCITE'!I108</f>
        <v>106633</v>
      </c>
      <c r="M108" s="113">
        <v>0</v>
      </c>
      <c r="N108" s="113">
        <f t="shared" ref="N108" si="29">K108-L108</f>
        <v>29458</v>
      </c>
      <c r="O108" s="348">
        <f>G108+'[5]Stampa rendiconto PI - USCITE'!J108</f>
        <v>12714</v>
      </c>
      <c r="P108" s="349"/>
    </row>
    <row r="109" spans="1:16" x14ac:dyDescent="0.25">
      <c r="A109" s="328" t="s">
        <v>386</v>
      </c>
      <c r="B109" s="328"/>
      <c r="C109" s="328"/>
      <c r="D109" s="328"/>
      <c r="E109" s="114">
        <f>E108</f>
        <v>7091</v>
      </c>
      <c r="F109" s="114">
        <f>F108</f>
        <v>7091</v>
      </c>
      <c r="G109" s="114">
        <v>0</v>
      </c>
      <c r="H109" s="114">
        <f>H108</f>
        <v>7091</v>
      </c>
      <c r="I109" s="114">
        <v>0</v>
      </c>
      <c r="J109" s="114">
        <v>0</v>
      </c>
      <c r="K109" s="114">
        <f>SUM(K106:K108)</f>
        <v>136091</v>
      </c>
      <c r="L109" s="114">
        <f>SUM(L106:L108)</f>
        <v>106633</v>
      </c>
      <c r="M109" s="114">
        <v>0</v>
      </c>
      <c r="N109" s="114">
        <f>SUM(N106:N108)</f>
        <v>29458</v>
      </c>
      <c r="O109" s="350">
        <f>SUM(O106:P108)</f>
        <v>12714</v>
      </c>
      <c r="P109" s="351"/>
    </row>
    <row r="110" spans="1:16" x14ac:dyDescent="0.25">
      <c r="A110" s="110" t="s">
        <v>387</v>
      </c>
      <c r="B110" s="329" t="s">
        <v>388</v>
      </c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</row>
    <row r="111" spans="1:16" x14ac:dyDescent="0.25">
      <c r="A111" s="111" t="s">
        <v>389</v>
      </c>
      <c r="B111" s="112" t="s">
        <v>390</v>
      </c>
      <c r="C111" s="111"/>
      <c r="D111" s="111"/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348">
        <v>0</v>
      </c>
      <c r="P111" s="349"/>
    </row>
    <row r="112" spans="1:16" x14ac:dyDescent="0.25">
      <c r="A112" s="111" t="s">
        <v>391</v>
      </c>
      <c r="B112" s="112" t="s">
        <v>392</v>
      </c>
      <c r="C112" s="111"/>
      <c r="D112" s="111"/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348">
        <v>0</v>
      </c>
      <c r="P112" s="349"/>
    </row>
    <row r="113" spans="1:18" x14ac:dyDescent="0.25">
      <c r="A113" s="328" t="s">
        <v>393</v>
      </c>
      <c r="B113" s="328"/>
      <c r="C113" s="328"/>
      <c r="D113" s="328"/>
      <c r="E113" s="114">
        <v>0</v>
      </c>
      <c r="F113" s="114">
        <v>0</v>
      </c>
      <c r="G113" s="114">
        <v>0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  <c r="N113" s="114">
        <v>0</v>
      </c>
      <c r="O113" s="350">
        <v>0</v>
      </c>
      <c r="P113" s="351"/>
    </row>
    <row r="114" spans="1:18" x14ac:dyDescent="0.25">
      <c r="A114" s="110" t="s">
        <v>394</v>
      </c>
      <c r="B114" s="329" t="s">
        <v>395</v>
      </c>
      <c r="C114" s="330"/>
      <c r="D114" s="330"/>
      <c r="E114" s="330"/>
      <c r="F114" s="330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</row>
    <row r="115" spans="1:18" x14ac:dyDescent="0.25">
      <c r="A115" s="111" t="s">
        <v>396</v>
      </c>
      <c r="B115" s="112" t="s">
        <v>397</v>
      </c>
      <c r="C115" s="111"/>
      <c r="D115" s="111"/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  <c r="N115" s="113">
        <v>0</v>
      </c>
      <c r="O115" s="348">
        <v>0</v>
      </c>
      <c r="P115" s="349"/>
    </row>
    <row r="116" spans="1:18" x14ac:dyDescent="0.25">
      <c r="A116" s="328" t="s">
        <v>398</v>
      </c>
      <c r="B116" s="328"/>
      <c r="C116" s="328"/>
      <c r="D116" s="328"/>
      <c r="E116" s="114">
        <v>0</v>
      </c>
      <c r="F116" s="114">
        <v>0</v>
      </c>
      <c r="G116" s="114">
        <v>0</v>
      </c>
      <c r="H116" s="114">
        <v>0</v>
      </c>
      <c r="I116" s="114">
        <v>0</v>
      </c>
      <c r="J116" s="114">
        <v>0</v>
      </c>
      <c r="K116" s="114">
        <v>0</v>
      </c>
      <c r="L116" s="114">
        <v>0</v>
      </c>
      <c r="M116" s="114">
        <v>0</v>
      </c>
      <c r="N116" s="114">
        <v>0</v>
      </c>
      <c r="O116" s="350">
        <v>0</v>
      </c>
      <c r="P116" s="351"/>
    </row>
    <row r="117" spans="1:18" x14ac:dyDescent="0.25">
      <c r="A117" s="110" t="s">
        <v>399</v>
      </c>
      <c r="B117" s="329" t="s">
        <v>400</v>
      </c>
      <c r="C117" s="330"/>
      <c r="D117" s="330"/>
      <c r="E117" s="330"/>
      <c r="F117" s="330"/>
      <c r="G117" s="330"/>
      <c r="H117" s="330"/>
      <c r="I117" s="330"/>
      <c r="J117" s="330"/>
      <c r="K117" s="330"/>
      <c r="L117" s="330"/>
      <c r="M117" s="330"/>
      <c r="N117" s="330"/>
      <c r="O117" s="330"/>
      <c r="P117" s="330"/>
    </row>
    <row r="118" spans="1:18" x14ac:dyDescent="0.25">
      <c r="A118" s="111" t="s">
        <v>401</v>
      </c>
      <c r="B118" s="112" t="s">
        <v>402</v>
      </c>
      <c r="C118" s="111"/>
      <c r="D118" s="111"/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3">
        <v>0</v>
      </c>
      <c r="M118" s="113">
        <v>0</v>
      </c>
      <c r="N118" s="113">
        <v>0</v>
      </c>
      <c r="O118" s="348">
        <v>0</v>
      </c>
      <c r="P118" s="349"/>
    </row>
    <row r="119" spans="1:18" x14ac:dyDescent="0.25">
      <c r="A119" s="328" t="s">
        <v>403</v>
      </c>
      <c r="B119" s="328"/>
      <c r="C119" s="328"/>
      <c r="D119" s="328"/>
      <c r="E119" s="114">
        <v>0</v>
      </c>
      <c r="F119" s="114">
        <v>0</v>
      </c>
      <c r="G119" s="114">
        <v>0</v>
      </c>
      <c r="H119" s="114">
        <v>0</v>
      </c>
      <c r="I119" s="114">
        <v>0</v>
      </c>
      <c r="J119" s="114">
        <v>0</v>
      </c>
      <c r="K119" s="114">
        <v>0</v>
      </c>
      <c r="L119" s="114">
        <v>0</v>
      </c>
      <c r="M119" s="114">
        <v>0</v>
      </c>
      <c r="N119" s="114">
        <v>0</v>
      </c>
      <c r="O119" s="350">
        <v>0</v>
      </c>
      <c r="P119" s="351"/>
    </row>
    <row r="120" spans="1:18" ht="12.95" customHeight="1" x14ac:dyDescent="0.25">
      <c r="A120" s="110" t="s">
        <v>404</v>
      </c>
      <c r="B120" s="329" t="s">
        <v>405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0"/>
      <c r="M120" s="330"/>
      <c r="N120" s="330"/>
      <c r="O120" s="330"/>
      <c r="P120" s="330"/>
    </row>
    <row r="121" spans="1:18" x14ac:dyDescent="0.25">
      <c r="A121" s="111" t="s">
        <v>406</v>
      </c>
      <c r="B121" s="112" t="s">
        <v>407</v>
      </c>
      <c r="C121" s="111"/>
      <c r="D121" s="111"/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348">
        <v>0</v>
      </c>
      <c r="P121" s="349"/>
    </row>
    <row r="122" spans="1:18" x14ac:dyDescent="0.25">
      <c r="A122" s="328" t="s">
        <v>408</v>
      </c>
      <c r="B122" s="328"/>
      <c r="C122" s="328"/>
      <c r="D122" s="328"/>
      <c r="E122" s="114">
        <v>0</v>
      </c>
      <c r="F122" s="114">
        <v>0</v>
      </c>
      <c r="G122" s="114">
        <v>0</v>
      </c>
      <c r="H122" s="114">
        <v>0</v>
      </c>
      <c r="I122" s="114">
        <v>0</v>
      </c>
      <c r="J122" s="114">
        <v>0</v>
      </c>
      <c r="K122" s="114">
        <v>0</v>
      </c>
      <c r="L122" s="114">
        <v>0</v>
      </c>
      <c r="M122" s="114">
        <v>0</v>
      </c>
      <c r="N122" s="114">
        <v>0</v>
      </c>
      <c r="O122" s="350">
        <v>0</v>
      </c>
      <c r="P122" s="351"/>
    </row>
    <row r="123" spans="1:18" x14ac:dyDescent="0.25">
      <c r="A123" s="110" t="s">
        <v>409</v>
      </c>
      <c r="B123" s="329" t="s">
        <v>410</v>
      </c>
      <c r="C123" s="330"/>
      <c r="D123" s="330"/>
      <c r="E123" s="330"/>
      <c r="F123" s="330"/>
      <c r="G123" s="330"/>
      <c r="H123" s="330"/>
      <c r="I123" s="330"/>
      <c r="J123" s="330"/>
      <c r="K123" s="330"/>
      <c r="L123" s="330"/>
      <c r="M123" s="330"/>
      <c r="N123" s="330"/>
      <c r="O123" s="330"/>
      <c r="P123" s="330"/>
    </row>
    <row r="124" spans="1:18" x14ac:dyDescent="0.25">
      <c r="A124" s="111" t="s">
        <v>411</v>
      </c>
      <c r="B124" s="112" t="s">
        <v>412</v>
      </c>
      <c r="C124" s="111"/>
      <c r="D124" s="111"/>
      <c r="E124" s="113">
        <v>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  <c r="L124" s="113">
        <v>0</v>
      </c>
      <c r="M124" s="113">
        <v>0</v>
      </c>
      <c r="N124" s="113">
        <v>0</v>
      </c>
      <c r="O124" s="348">
        <v>0</v>
      </c>
      <c r="P124" s="349"/>
    </row>
    <row r="125" spans="1:18" x14ac:dyDescent="0.25">
      <c r="A125" s="328" t="s">
        <v>413</v>
      </c>
      <c r="B125" s="328"/>
      <c r="C125" s="328"/>
      <c r="D125" s="328"/>
      <c r="E125" s="114">
        <v>0</v>
      </c>
      <c r="F125" s="114">
        <v>0</v>
      </c>
      <c r="G125" s="114">
        <v>0</v>
      </c>
      <c r="H125" s="114">
        <v>0</v>
      </c>
      <c r="I125" s="114">
        <v>0</v>
      </c>
      <c r="J125" s="114">
        <v>0</v>
      </c>
      <c r="K125" s="114">
        <v>0</v>
      </c>
      <c r="L125" s="114">
        <v>0</v>
      </c>
      <c r="M125" s="114">
        <v>0</v>
      </c>
      <c r="N125" s="114">
        <v>0</v>
      </c>
      <c r="O125" s="350">
        <v>0</v>
      </c>
      <c r="P125" s="351"/>
    </row>
    <row r="126" spans="1:18" x14ac:dyDescent="0.25">
      <c r="A126" s="328" t="s">
        <v>414</v>
      </c>
      <c r="B126" s="328"/>
      <c r="C126" s="328"/>
      <c r="D126" s="328"/>
      <c r="E126" s="114">
        <f>E125+E122+E119+E116+E113+E109+E104+E99+E95+E88</f>
        <v>63147803</v>
      </c>
      <c r="F126" s="114">
        <f t="shared" ref="F126:P126" si="30">F125+F122+F119+F116+F113+F109+F104+F99+F95+F88</f>
        <v>37705878</v>
      </c>
      <c r="G126" s="114">
        <f t="shared" si="30"/>
        <v>25441925</v>
      </c>
      <c r="H126" s="114">
        <f t="shared" si="30"/>
        <v>63147803</v>
      </c>
      <c r="I126" s="114">
        <f t="shared" si="30"/>
        <v>0</v>
      </c>
      <c r="J126" s="114">
        <f t="shared" si="30"/>
        <v>0</v>
      </c>
      <c r="K126" s="114">
        <f t="shared" si="30"/>
        <v>119037129</v>
      </c>
      <c r="L126" s="114">
        <f t="shared" si="30"/>
        <v>48483822</v>
      </c>
      <c r="M126" s="114">
        <f t="shared" si="30"/>
        <v>0</v>
      </c>
      <c r="N126" s="114">
        <f t="shared" si="30"/>
        <v>70553307</v>
      </c>
      <c r="O126" s="350">
        <f t="shared" si="30"/>
        <v>49189248</v>
      </c>
      <c r="P126" s="351">
        <f t="shared" si="30"/>
        <v>0</v>
      </c>
      <c r="Q126" s="3">
        <f>K126+J86</f>
        <v>119037129</v>
      </c>
      <c r="R126" s="3">
        <f>O126+J126</f>
        <v>49189248</v>
      </c>
    </row>
    <row r="127" spans="1:18" x14ac:dyDescent="0.25">
      <c r="A127" s="109" t="s">
        <v>415</v>
      </c>
      <c r="B127" s="352" t="s">
        <v>416</v>
      </c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</row>
    <row r="128" spans="1:18" ht="12.95" customHeight="1" x14ac:dyDescent="0.25">
      <c r="A128" s="110" t="s">
        <v>417</v>
      </c>
      <c r="B128" s="329" t="s">
        <v>418</v>
      </c>
      <c r="C128" s="330"/>
      <c r="D128" s="330"/>
      <c r="E128" s="330"/>
      <c r="F128" s="330"/>
      <c r="G128" s="330"/>
      <c r="H128" s="330"/>
      <c r="I128" s="330"/>
      <c r="J128" s="330"/>
      <c r="K128" s="330"/>
      <c r="L128" s="330"/>
      <c r="M128" s="330"/>
      <c r="N128" s="330"/>
      <c r="O128" s="330"/>
      <c r="P128" s="330"/>
    </row>
    <row r="129" spans="1:18" x14ac:dyDescent="0.25">
      <c r="A129" s="111" t="s">
        <v>419</v>
      </c>
      <c r="B129" s="112" t="s">
        <v>167</v>
      </c>
      <c r="C129" s="111"/>
      <c r="D129" s="111"/>
      <c r="E129" s="113">
        <v>6899</v>
      </c>
      <c r="F129" s="113">
        <f>ROUND(6229.35,0)</f>
        <v>6229</v>
      </c>
      <c r="G129" s="113">
        <f t="shared" ref="G129:G137" si="31">H129-F129</f>
        <v>670</v>
      </c>
      <c r="H129" s="113">
        <f>E129</f>
        <v>6899</v>
      </c>
      <c r="I129" s="113">
        <v>0</v>
      </c>
      <c r="J129" s="113">
        <v>0</v>
      </c>
      <c r="K129" s="113">
        <f>H129+'[5]Stampa rendiconto PI - USCITE'!H129</f>
        <v>1406899</v>
      </c>
      <c r="L129" s="113">
        <f>F129+'[5]Stampa rendiconto PI - USCITE'!I129</f>
        <v>1382822</v>
      </c>
      <c r="M129" s="113">
        <v>0</v>
      </c>
      <c r="N129" s="113">
        <f t="shared" ref="N129:N137" si="32">K129-L129</f>
        <v>24077</v>
      </c>
      <c r="O129" s="348">
        <f>G129+'[5]Stampa rendiconto PI - USCITE'!J129</f>
        <v>5847</v>
      </c>
      <c r="P129" s="349"/>
    </row>
    <row r="130" spans="1:18" x14ac:dyDescent="0.25">
      <c r="A130" s="111" t="s">
        <v>420</v>
      </c>
      <c r="B130" s="112" t="s">
        <v>169</v>
      </c>
      <c r="C130" s="111"/>
      <c r="D130" s="111"/>
      <c r="E130" s="113">
        <v>0</v>
      </c>
      <c r="F130" s="113">
        <v>0</v>
      </c>
      <c r="G130" s="113">
        <f t="shared" si="31"/>
        <v>0</v>
      </c>
      <c r="H130" s="113">
        <f t="shared" ref="H130:H137" si="33">E130</f>
        <v>0</v>
      </c>
      <c r="I130" s="113">
        <v>0</v>
      </c>
      <c r="J130" s="113">
        <v>0</v>
      </c>
      <c r="K130" s="113">
        <f>H130+'[5]Stampa rendiconto PI - USCITE'!H130</f>
        <v>420000</v>
      </c>
      <c r="L130" s="113">
        <f>F130+'[5]Stampa rendiconto PI - USCITE'!I130</f>
        <v>387869</v>
      </c>
      <c r="M130" s="113">
        <v>0</v>
      </c>
      <c r="N130" s="113">
        <f t="shared" si="32"/>
        <v>32131</v>
      </c>
      <c r="O130" s="348">
        <f>G130+'[5]Stampa rendiconto PI - USCITE'!J130</f>
        <v>1265</v>
      </c>
      <c r="P130" s="349"/>
    </row>
    <row r="131" spans="1:18" x14ac:dyDescent="0.25">
      <c r="A131" s="111" t="s">
        <v>421</v>
      </c>
      <c r="B131" s="112" t="s">
        <v>171</v>
      </c>
      <c r="C131" s="111"/>
      <c r="D131" s="111"/>
      <c r="E131" s="113">
        <v>0</v>
      </c>
      <c r="F131" s="113">
        <v>0</v>
      </c>
      <c r="G131" s="113">
        <f t="shared" si="31"/>
        <v>0</v>
      </c>
      <c r="H131" s="113">
        <f t="shared" si="33"/>
        <v>0</v>
      </c>
      <c r="I131" s="113">
        <v>0</v>
      </c>
      <c r="J131" s="113">
        <v>0</v>
      </c>
      <c r="K131" s="113">
        <f>H131+'[5]Stampa rendiconto PI - USCITE'!H131</f>
        <v>5000</v>
      </c>
      <c r="L131" s="113">
        <f>F131+'[5]Stampa rendiconto PI - USCITE'!I131</f>
        <v>3510</v>
      </c>
      <c r="M131" s="113">
        <v>0</v>
      </c>
      <c r="N131" s="113">
        <f t="shared" si="32"/>
        <v>1490</v>
      </c>
      <c r="O131" s="348">
        <f>G131+'[5]Stampa rendiconto PI - USCITE'!J131</f>
        <v>0</v>
      </c>
      <c r="P131" s="349"/>
    </row>
    <row r="132" spans="1:18" x14ac:dyDescent="0.25">
      <c r="A132" s="111" t="s">
        <v>422</v>
      </c>
      <c r="B132" s="112" t="s">
        <v>423</v>
      </c>
      <c r="C132" s="111"/>
      <c r="D132" s="111"/>
      <c r="E132" s="113">
        <v>0</v>
      </c>
      <c r="F132" s="113">
        <v>0</v>
      </c>
      <c r="G132" s="113">
        <f t="shared" si="31"/>
        <v>0</v>
      </c>
      <c r="H132" s="113">
        <f t="shared" si="33"/>
        <v>0</v>
      </c>
      <c r="I132" s="113">
        <v>0</v>
      </c>
      <c r="J132" s="113">
        <v>0</v>
      </c>
      <c r="K132" s="113">
        <f>H132+'[5]Stampa rendiconto PI - USCITE'!H132</f>
        <v>0</v>
      </c>
      <c r="L132" s="113">
        <f>F132+'[5]Stampa rendiconto PI - USCITE'!I132</f>
        <v>0</v>
      </c>
      <c r="M132" s="113">
        <v>0</v>
      </c>
      <c r="N132" s="113">
        <f t="shared" si="32"/>
        <v>0</v>
      </c>
      <c r="O132" s="348">
        <f>G132+'[5]Stampa rendiconto PI - USCITE'!J132</f>
        <v>0</v>
      </c>
      <c r="P132" s="349"/>
    </row>
    <row r="133" spans="1:18" x14ac:dyDescent="0.25">
      <c r="A133" s="111" t="s">
        <v>424</v>
      </c>
      <c r="B133" s="112" t="s">
        <v>425</v>
      </c>
      <c r="C133" s="111"/>
      <c r="D133" s="111"/>
      <c r="E133" s="113">
        <v>0</v>
      </c>
      <c r="F133" s="113">
        <v>0</v>
      </c>
      <c r="G133" s="113">
        <f t="shared" si="31"/>
        <v>0</v>
      </c>
      <c r="H133" s="113">
        <f t="shared" si="33"/>
        <v>0</v>
      </c>
      <c r="I133" s="113">
        <v>0</v>
      </c>
      <c r="J133" s="113">
        <v>0</v>
      </c>
      <c r="K133" s="113">
        <f>H133+'[5]Stampa rendiconto PI - USCITE'!H133</f>
        <v>0</v>
      </c>
      <c r="L133" s="113">
        <f>F133+'[5]Stampa rendiconto PI - USCITE'!I133</f>
        <v>0</v>
      </c>
      <c r="M133" s="113">
        <v>0</v>
      </c>
      <c r="N133" s="113">
        <f t="shared" si="32"/>
        <v>0</v>
      </c>
      <c r="O133" s="348">
        <f>G133+'[5]Stampa rendiconto PI - USCITE'!J133</f>
        <v>0</v>
      </c>
      <c r="P133" s="349"/>
    </row>
    <row r="134" spans="1:18" x14ac:dyDescent="0.25">
      <c r="A134" s="111" t="s">
        <v>426</v>
      </c>
      <c r="B134" s="112" t="s">
        <v>427</v>
      </c>
      <c r="C134" s="111"/>
      <c r="D134" s="111"/>
      <c r="E134" s="113">
        <v>13002</v>
      </c>
      <c r="F134" s="113">
        <f>ROUND(10782.83,0)</f>
        <v>10783</v>
      </c>
      <c r="G134" s="113">
        <f t="shared" si="31"/>
        <v>2219</v>
      </c>
      <c r="H134" s="113">
        <f t="shared" si="33"/>
        <v>13002</v>
      </c>
      <c r="I134" s="113">
        <v>0</v>
      </c>
      <c r="J134" s="113">
        <v>0</v>
      </c>
      <c r="K134" s="113">
        <f>H134+'[5]Stampa rendiconto PI - USCITE'!H134</f>
        <v>53002</v>
      </c>
      <c r="L134" s="113">
        <f>F134+'[5]Stampa rendiconto PI - USCITE'!I134</f>
        <v>25969</v>
      </c>
      <c r="M134" s="113">
        <v>0</v>
      </c>
      <c r="N134" s="113">
        <f t="shared" si="32"/>
        <v>27033</v>
      </c>
      <c r="O134" s="348">
        <f>G134+'[5]Stampa rendiconto PI - USCITE'!J134</f>
        <v>5896</v>
      </c>
      <c r="P134" s="349"/>
    </row>
    <row r="135" spans="1:18" x14ac:dyDescent="0.25">
      <c r="A135" s="111" t="s">
        <v>428</v>
      </c>
      <c r="B135" s="112" t="s">
        <v>179</v>
      </c>
      <c r="C135" s="111"/>
      <c r="D135" s="111"/>
      <c r="E135" s="113">
        <v>4189</v>
      </c>
      <c r="F135" s="113">
        <v>1189</v>
      </c>
      <c r="G135" s="113">
        <f t="shared" si="31"/>
        <v>3000</v>
      </c>
      <c r="H135" s="113">
        <f t="shared" si="33"/>
        <v>4189</v>
      </c>
      <c r="I135" s="113">
        <v>0</v>
      </c>
      <c r="J135" s="113">
        <v>0</v>
      </c>
      <c r="K135" s="113">
        <f>H135+'[5]Stampa rendiconto PI - USCITE'!H135</f>
        <v>34189</v>
      </c>
      <c r="L135" s="113">
        <f>F135+'[5]Stampa rendiconto PI - USCITE'!I135</f>
        <v>26840</v>
      </c>
      <c r="M135" s="113">
        <v>0</v>
      </c>
      <c r="N135" s="113">
        <f t="shared" si="32"/>
        <v>7349</v>
      </c>
      <c r="O135" s="348">
        <f>G135+'[5]Stampa rendiconto PI - USCITE'!J135</f>
        <v>4972</v>
      </c>
      <c r="P135" s="349"/>
    </row>
    <row r="136" spans="1:18" x14ac:dyDescent="0.25">
      <c r="A136" s="111" t="s">
        <v>429</v>
      </c>
      <c r="B136" s="112" t="s">
        <v>430</v>
      </c>
      <c r="C136" s="111"/>
      <c r="D136" s="111"/>
      <c r="E136" s="113">
        <v>0</v>
      </c>
      <c r="F136" s="113">
        <v>0</v>
      </c>
      <c r="G136" s="113">
        <f t="shared" si="31"/>
        <v>0</v>
      </c>
      <c r="H136" s="113">
        <f t="shared" si="33"/>
        <v>0</v>
      </c>
      <c r="I136" s="113">
        <v>0</v>
      </c>
      <c r="J136" s="113">
        <v>0</v>
      </c>
      <c r="K136" s="113">
        <f>H136+'[5]Stampa rendiconto PI - USCITE'!H136</f>
        <v>22500</v>
      </c>
      <c r="L136" s="113">
        <f>F136+'[5]Stampa rendiconto PI - USCITE'!I136</f>
        <v>20000</v>
      </c>
      <c r="M136" s="113">
        <v>0</v>
      </c>
      <c r="N136" s="113">
        <f t="shared" si="32"/>
        <v>2500</v>
      </c>
      <c r="O136" s="348">
        <f>G136+'[5]Stampa rendiconto PI - USCITE'!J136</f>
        <v>0</v>
      </c>
      <c r="P136" s="349"/>
      <c r="R136" s="3">
        <f>K140+J140-4560</f>
        <v>138051364</v>
      </c>
    </row>
    <row r="137" spans="1:18" x14ac:dyDescent="0.25">
      <c r="A137" s="111" t="s">
        <v>431</v>
      </c>
      <c r="B137" s="112" t="s">
        <v>183</v>
      </c>
      <c r="C137" s="111"/>
      <c r="D137" s="111"/>
      <c r="E137" s="113">
        <v>102954</v>
      </c>
      <c r="F137" s="113">
        <f>ROUND(95913.26,0)</f>
        <v>95913</v>
      </c>
      <c r="G137" s="113">
        <f t="shared" si="31"/>
        <v>7041</v>
      </c>
      <c r="H137" s="113">
        <f t="shared" si="33"/>
        <v>102954</v>
      </c>
      <c r="I137" s="113">
        <v>0</v>
      </c>
      <c r="J137" s="113">
        <v>0</v>
      </c>
      <c r="K137" s="113">
        <f>H137+'[5]Stampa rendiconto PI - USCITE'!H137</f>
        <v>1022954</v>
      </c>
      <c r="L137" s="113">
        <f>F137+'[5]Stampa rendiconto PI - USCITE'!I137</f>
        <v>545743</v>
      </c>
      <c r="M137" s="113">
        <v>0</v>
      </c>
      <c r="N137" s="113">
        <f t="shared" si="32"/>
        <v>477211</v>
      </c>
      <c r="O137" s="348">
        <f>G137+'[5]Stampa rendiconto PI - USCITE'!J137</f>
        <v>329442</v>
      </c>
      <c r="P137" s="349"/>
    </row>
    <row r="138" spans="1:18" x14ac:dyDescent="0.25">
      <c r="A138" s="328" t="s">
        <v>432</v>
      </c>
      <c r="B138" s="346"/>
      <c r="C138" s="346"/>
      <c r="D138" s="346"/>
      <c r="E138" s="114">
        <f>SUM(E129:E137)</f>
        <v>127044</v>
      </c>
      <c r="F138" s="114">
        <f>SUM(F129:F137)</f>
        <v>114114</v>
      </c>
      <c r="G138" s="114">
        <f>SUM(G129:G137)</f>
        <v>12930</v>
      </c>
      <c r="H138" s="114">
        <f>SUM(H129:H137)</f>
        <v>127044</v>
      </c>
      <c r="I138" s="114">
        <v>0</v>
      </c>
      <c r="J138" s="114">
        <v>0</v>
      </c>
      <c r="K138" s="114">
        <f>SUM(K129:K137)</f>
        <v>2964544</v>
      </c>
      <c r="L138" s="114">
        <f>SUM(L129:L137)</f>
        <v>2392753</v>
      </c>
      <c r="M138" s="114">
        <v>0</v>
      </c>
      <c r="N138" s="114">
        <f>SUM(N129:N137)</f>
        <v>571791</v>
      </c>
      <c r="O138" s="350">
        <f>SUM(O129:P137)</f>
        <v>347422</v>
      </c>
      <c r="P138" s="349"/>
      <c r="R138" s="3">
        <f>O139+R126+Q81</f>
        <v>49537830</v>
      </c>
    </row>
    <row r="139" spans="1:18" x14ac:dyDescent="0.25">
      <c r="A139" s="328" t="s">
        <v>433</v>
      </c>
      <c r="B139" s="328"/>
      <c r="C139" s="328"/>
      <c r="D139" s="328"/>
      <c r="E139" s="114">
        <f>E138</f>
        <v>127044</v>
      </c>
      <c r="F139" s="114">
        <f>F138</f>
        <v>114114</v>
      </c>
      <c r="G139" s="114">
        <f>G138</f>
        <v>12930</v>
      </c>
      <c r="H139" s="114">
        <f>H138</f>
        <v>127044</v>
      </c>
      <c r="I139" s="114">
        <v>0</v>
      </c>
      <c r="J139" s="114">
        <v>0</v>
      </c>
      <c r="K139" s="114">
        <f>K138</f>
        <v>2964544</v>
      </c>
      <c r="L139" s="114">
        <f>L138</f>
        <v>2392753</v>
      </c>
      <c r="M139" s="114">
        <v>0</v>
      </c>
      <c r="N139" s="114">
        <f>N138</f>
        <v>571791</v>
      </c>
      <c r="O139" s="350">
        <f>O138</f>
        <v>347422</v>
      </c>
      <c r="P139" s="349"/>
    </row>
    <row r="140" spans="1:18" x14ac:dyDescent="0.25">
      <c r="A140" s="328" t="s">
        <v>186</v>
      </c>
      <c r="B140" s="328"/>
      <c r="C140" s="328"/>
      <c r="D140" s="328"/>
      <c r="E140" s="254">
        <f>E139+E126+E81</f>
        <v>65065281</v>
      </c>
      <c r="F140" s="254">
        <f>F139+F126+F81</f>
        <v>38669473</v>
      </c>
      <c r="G140" s="254">
        <f t="shared" ref="G140:P140" si="34">G139+G126+G81</f>
        <v>26394648</v>
      </c>
      <c r="H140" s="254">
        <f t="shared" si="34"/>
        <v>65064121</v>
      </c>
      <c r="I140" s="254">
        <f t="shared" si="34"/>
        <v>0</v>
      </c>
      <c r="J140" s="254">
        <f t="shared" si="34"/>
        <v>1160</v>
      </c>
      <c r="K140" s="254">
        <f>K139+K126+K81</f>
        <v>138054764</v>
      </c>
      <c r="L140" s="254">
        <f>L139+L126+L81</f>
        <v>62305595</v>
      </c>
      <c r="M140" s="254">
        <f t="shared" si="34"/>
        <v>0</v>
      </c>
      <c r="N140" s="254">
        <f t="shared" si="34"/>
        <v>75749169</v>
      </c>
      <c r="O140" s="362">
        <f>O139+O126+O81</f>
        <v>52536365</v>
      </c>
      <c r="P140" s="363">
        <f t="shared" si="34"/>
        <v>0</v>
      </c>
      <c r="R140" s="3">
        <f>O140+J140</f>
        <v>52537525</v>
      </c>
    </row>
    <row r="141" spans="1:18" hidden="1" x14ac:dyDescent="0.25"/>
    <row r="142" spans="1:18" hidden="1" x14ac:dyDescent="0.25">
      <c r="K142" s="2" t="s">
        <v>435</v>
      </c>
      <c r="L142" s="347">
        <v>43410090.07</v>
      </c>
      <c r="M142" s="347"/>
    </row>
    <row r="143" spans="1:18" hidden="1" x14ac:dyDescent="0.25"/>
  </sheetData>
  <mergeCells count="176">
    <mergeCell ref="A1:P1"/>
    <mergeCell ref="A2:P2"/>
    <mergeCell ref="A3:P3"/>
    <mergeCell ref="A4:P4"/>
    <mergeCell ref="A5:D5"/>
    <mergeCell ref="E5:J5"/>
    <mergeCell ref="K5:N5"/>
    <mergeCell ref="O5:P5"/>
    <mergeCell ref="O7:P7"/>
    <mergeCell ref="B8:P8"/>
    <mergeCell ref="B9:P9"/>
    <mergeCell ref="O10:P10"/>
    <mergeCell ref="O11:P11"/>
    <mergeCell ref="O12:P12"/>
    <mergeCell ref="A6:D6"/>
    <mergeCell ref="E6:H6"/>
    <mergeCell ref="K6:L6"/>
    <mergeCell ref="M6:N6"/>
    <mergeCell ref="O6:P6"/>
    <mergeCell ref="I6:J6"/>
    <mergeCell ref="O18:P18"/>
    <mergeCell ref="O19:P19"/>
    <mergeCell ref="O20:P20"/>
    <mergeCell ref="O21:P21"/>
    <mergeCell ref="O22:P22"/>
    <mergeCell ref="O23:P23"/>
    <mergeCell ref="A13:D13"/>
    <mergeCell ref="B14:P14"/>
    <mergeCell ref="O15:P15"/>
    <mergeCell ref="O16:P16"/>
    <mergeCell ref="O17:P17"/>
    <mergeCell ref="O13:P13"/>
    <mergeCell ref="O29:P29"/>
    <mergeCell ref="O30:P30"/>
    <mergeCell ref="O31:P31"/>
    <mergeCell ref="O32:P32"/>
    <mergeCell ref="O33:P33"/>
    <mergeCell ref="O34:P34"/>
    <mergeCell ref="A24:D24"/>
    <mergeCell ref="O24:P24"/>
    <mergeCell ref="B25:P25"/>
    <mergeCell ref="O26:P26"/>
    <mergeCell ref="O27:P27"/>
    <mergeCell ref="O28:P28"/>
    <mergeCell ref="O41:P41"/>
    <mergeCell ref="O42:P42"/>
    <mergeCell ref="O43:P43"/>
    <mergeCell ref="A44:D44"/>
    <mergeCell ref="O44:P44"/>
    <mergeCell ref="B45:P45"/>
    <mergeCell ref="O35:P35"/>
    <mergeCell ref="O36:P36"/>
    <mergeCell ref="O37:P37"/>
    <mergeCell ref="O38:P38"/>
    <mergeCell ref="O39:P39"/>
    <mergeCell ref="O40:P40"/>
    <mergeCell ref="B52:P52"/>
    <mergeCell ref="O53:P53"/>
    <mergeCell ref="O54:P54"/>
    <mergeCell ref="O55:P55"/>
    <mergeCell ref="A56:D56"/>
    <mergeCell ref="O56:P56"/>
    <mergeCell ref="O46:P46"/>
    <mergeCell ref="O47:P47"/>
    <mergeCell ref="O48:P48"/>
    <mergeCell ref="O49:P49"/>
    <mergeCell ref="O50:P50"/>
    <mergeCell ref="A51:D51"/>
    <mergeCell ref="O51:P51"/>
    <mergeCell ref="A62:D62"/>
    <mergeCell ref="O62:P62"/>
    <mergeCell ref="B63:P63"/>
    <mergeCell ref="O64:P64"/>
    <mergeCell ref="A65:D65"/>
    <mergeCell ref="O65:P65"/>
    <mergeCell ref="B57:P57"/>
    <mergeCell ref="O58:P58"/>
    <mergeCell ref="A59:D59"/>
    <mergeCell ref="O59:P59"/>
    <mergeCell ref="B60:P60"/>
    <mergeCell ref="O61:P61"/>
    <mergeCell ref="B72:P72"/>
    <mergeCell ref="O73:P73"/>
    <mergeCell ref="A74:D74"/>
    <mergeCell ref="O74:P74"/>
    <mergeCell ref="B75:P75"/>
    <mergeCell ref="O76:P76"/>
    <mergeCell ref="B66:P66"/>
    <mergeCell ref="O67:P67"/>
    <mergeCell ref="O68:P68"/>
    <mergeCell ref="O69:P69"/>
    <mergeCell ref="O70:P70"/>
    <mergeCell ref="A71:D71"/>
    <mergeCell ref="O71:P71"/>
    <mergeCell ref="A81:D81"/>
    <mergeCell ref="B82:P82"/>
    <mergeCell ref="B83:P83"/>
    <mergeCell ref="O84:P84"/>
    <mergeCell ref="O85:P85"/>
    <mergeCell ref="A77:D77"/>
    <mergeCell ref="O77:P77"/>
    <mergeCell ref="B78:P78"/>
    <mergeCell ref="O79:P79"/>
    <mergeCell ref="A80:D80"/>
    <mergeCell ref="O80:P80"/>
    <mergeCell ref="O81:P81"/>
    <mergeCell ref="O91:P91"/>
    <mergeCell ref="O92:P92"/>
    <mergeCell ref="O93:P93"/>
    <mergeCell ref="O94:P94"/>
    <mergeCell ref="A95:D95"/>
    <mergeCell ref="O95:P95"/>
    <mergeCell ref="O86:P86"/>
    <mergeCell ref="O87:P87"/>
    <mergeCell ref="A88:D88"/>
    <mergeCell ref="O88:P88"/>
    <mergeCell ref="B89:P89"/>
    <mergeCell ref="O90:P90"/>
    <mergeCell ref="O101:P101"/>
    <mergeCell ref="O102:P102"/>
    <mergeCell ref="O103:P103"/>
    <mergeCell ref="A104:D104"/>
    <mergeCell ref="O104:P104"/>
    <mergeCell ref="B105:P105"/>
    <mergeCell ref="B96:P96"/>
    <mergeCell ref="O97:P97"/>
    <mergeCell ref="O98:P98"/>
    <mergeCell ref="A99:D99"/>
    <mergeCell ref="O99:P99"/>
    <mergeCell ref="B100:P100"/>
    <mergeCell ref="O111:P111"/>
    <mergeCell ref="O112:P112"/>
    <mergeCell ref="A113:D113"/>
    <mergeCell ref="O113:P113"/>
    <mergeCell ref="B114:P114"/>
    <mergeCell ref="O115:P115"/>
    <mergeCell ref="O106:P106"/>
    <mergeCell ref="O107:P107"/>
    <mergeCell ref="O108:P108"/>
    <mergeCell ref="A109:D109"/>
    <mergeCell ref="O109:P109"/>
    <mergeCell ref="B110:P110"/>
    <mergeCell ref="B120:P120"/>
    <mergeCell ref="O121:P121"/>
    <mergeCell ref="A122:D122"/>
    <mergeCell ref="O122:P122"/>
    <mergeCell ref="B123:P123"/>
    <mergeCell ref="O124:P124"/>
    <mergeCell ref="A116:D116"/>
    <mergeCell ref="O116:P116"/>
    <mergeCell ref="B117:P117"/>
    <mergeCell ref="O118:P118"/>
    <mergeCell ref="A119:D119"/>
    <mergeCell ref="O119:P119"/>
    <mergeCell ref="O129:P129"/>
    <mergeCell ref="O130:P130"/>
    <mergeCell ref="O131:P131"/>
    <mergeCell ref="O132:P132"/>
    <mergeCell ref="O133:P133"/>
    <mergeCell ref="O134:P134"/>
    <mergeCell ref="A125:D125"/>
    <mergeCell ref="O125:P125"/>
    <mergeCell ref="A126:D126"/>
    <mergeCell ref="O126:P126"/>
    <mergeCell ref="B127:P127"/>
    <mergeCell ref="B128:P128"/>
    <mergeCell ref="L142:M142"/>
    <mergeCell ref="A140:D140"/>
    <mergeCell ref="O140:P140"/>
    <mergeCell ref="O135:P135"/>
    <mergeCell ref="O136:P136"/>
    <mergeCell ref="O137:P137"/>
    <mergeCell ref="A138:D138"/>
    <mergeCell ref="O138:P138"/>
    <mergeCell ref="A139:D139"/>
    <mergeCell ref="O139:P139"/>
  </mergeCells>
  <pageMargins left="0.34722222222222221" right="0.34722222222222221" top="0.34722222222222221" bottom="0.34722222222222221" header="0.27777777777777779" footer="0.1388888888888889"/>
  <pageSetup paperSize="9" scale="70" orientation="landscape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RESIDUI ATT 2021_def</vt:lpstr>
      <vt:lpstr>mod. SITUAM 2021</vt:lpstr>
      <vt:lpstr>Quadro Generale </vt:lpstr>
      <vt:lpstr>decisionale spese</vt:lpstr>
      <vt:lpstr>decisionale entrate </vt:lpstr>
      <vt:lpstr>Stampa rendiconto PI - ENTRATE</vt:lpstr>
      <vt:lpstr>Stampa rendiconto PII - ENTRATE</vt:lpstr>
      <vt:lpstr>Stampa rendiconto PI - USCITE</vt:lpstr>
      <vt:lpstr>Stampa rendiconto PII - USCITE</vt:lpstr>
      <vt:lpstr>'Stampa rendiconto PI - ENTRATE'!Titoli_stampa</vt:lpstr>
      <vt:lpstr>'Stampa rendiconto PI - USCITE'!Titoli_stampa</vt:lpstr>
      <vt:lpstr>'Stampa rendiconto PII - ENTRATE'!Titoli_stampa</vt:lpstr>
      <vt:lpstr>'Stampa rendiconto PII - USCITE'!Titoli_stampa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Ladiana</dc:creator>
  <cp:lastModifiedBy>Raffaella Ladiana</cp:lastModifiedBy>
  <cp:lastPrinted>2022-04-01T09:32:53Z</cp:lastPrinted>
  <dcterms:created xsi:type="dcterms:W3CDTF">2021-03-01T13:56:42Z</dcterms:created>
  <dcterms:modified xsi:type="dcterms:W3CDTF">2025-08-28T10:40:58Z</dcterms:modified>
</cp:coreProperties>
</file>